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E4RgQGiKITcTMYYlN0Rfy2Me7hWywH0nusBHUd/FfEqK/drs7vS5p+EhLjE9f6zvDeBIrU+SZQRCADBceqAbIA==" workbookSaltValue="P3LHaI989leDqtNUAfGiC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L17" i="2" s="1"/>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3" i="17"/>
  <c r="BD11" i="13"/>
  <c r="AN21" i="13"/>
  <c r="D20" i="12"/>
  <c r="ER21" i="8"/>
  <c r="N19" i="11"/>
  <c r="AE14" i="21"/>
  <c r="AL16" i="11"/>
  <c r="EL21" i="8"/>
  <c r="EQ21" i="8"/>
  <c r="EN21" i="8"/>
  <c r="K20" i="11"/>
  <c r="BA14" i="16"/>
  <c r="N10" i="11"/>
  <c r="N9" i="11"/>
  <c r="D17" i="2"/>
  <c r="B19" i="6"/>
  <c r="ES21" i="8"/>
  <c r="G20" i="12"/>
  <c r="AQ19" i="11"/>
  <c r="EP21" i="8"/>
  <c r="ER21" i="13"/>
  <c r="AL14" i="16"/>
  <c r="EP21" i="19"/>
  <c r="BF10" i="11"/>
  <c r="AZ19" i="11"/>
  <c r="S14" i="16"/>
  <c r="V12" i="21"/>
  <c r="P14" i="16"/>
  <c r="Z14" i="17"/>
  <c r="F18" i="17"/>
  <c r="AQ18" i="17" s="1"/>
  <c r="V18" i="16"/>
  <c r="K20"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E14" i="17"/>
  <c r="AH14" i="16"/>
  <c r="X10" i="21"/>
  <c r="V10" i="16"/>
  <c r="T14" i="20"/>
  <c r="X13" i="16"/>
  <c r="T20" i="17"/>
  <c r="BF16" i="13"/>
  <c r="BG16" i="13"/>
  <c r="BB20" i="13"/>
  <c r="BE17" i="13"/>
  <c r="BE16" i="13"/>
  <c r="BF17" i="13"/>
  <c r="K22" i="20"/>
  <c r="Y22" i="20"/>
  <c r="AC22" i="20"/>
  <c r="AA22" i="20"/>
  <c r="U12" i="11"/>
  <c r="G14" i="14"/>
  <c r="U10" i="11"/>
  <c r="W22" i="21"/>
  <c r="AF22" i="20"/>
  <c r="U18" i="11"/>
  <c r="AL22" i="20"/>
  <c r="AE22" i="20"/>
  <c r="AG22" i="20"/>
  <c r="L22" i="20"/>
  <c r="M22" i="20"/>
  <c r="N22" i="20"/>
  <c r="AQ22" i="21"/>
  <c r="U17" i="11"/>
  <c r="AQ22" i="20"/>
  <c r="W22" i="20"/>
  <c r="AW20" i="21" l="1"/>
  <c r="BF18" i="8"/>
  <c r="AY20" i="8"/>
  <c r="AE21" i="8"/>
  <c r="C14" i="7"/>
  <c r="BA14" i="8"/>
  <c r="BG10" i="8"/>
  <c r="R21" i="8"/>
  <c r="BE9" i="8"/>
  <c r="AY14" i="8"/>
  <c r="H12" i="2"/>
  <c r="M14" i="2"/>
  <c r="M20" i="2"/>
  <c r="N20" i="2"/>
  <c r="K16" i="7"/>
  <c r="F13" i="2"/>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F11" i="16"/>
  <c r="BL11" i="16" s="1"/>
  <c r="X12" i="21"/>
  <c r="AP17" i="20"/>
  <c r="BH9" i="16"/>
  <c r="BL19" i="11"/>
  <c r="BL9" i="11"/>
  <c r="BK13" i="11"/>
  <c r="BH18" i="16"/>
  <c r="BH16"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G10" i="11"/>
  <c r="BM17" i="11"/>
  <c r="Q18" i="20"/>
  <c r="Q20" i="20" s="1"/>
  <c r="V11" i="16"/>
  <c r="BF18" i="11"/>
  <c r="BH19" i="11"/>
  <c r="BK19" i="11"/>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K17" i="7" l="1"/>
  <c r="I12"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I22" i="11"/>
  <c r="I22" i="21"/>
  <c r="BN22" i="16"/>
  <c r="AK22" i="17"/>
  <c r="BE22" i="21"/>
  <c r="AD22" i="21"/>
  <c r="O22" i="21"/>
  <c r="AU22" i="11"/>
  <c r="AH22" i="21"/>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Z22" i="21"/>
  <c r="AJ22" i="11"/>
  <c r="D22" i="12"/>
  <c r="AP22" i="17"/>
  <c r="AG22" i="17"/>
  <c r="AZ22" i="16"/>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<sst xmlns="http://schemas.openxmlformats.org/spreadsheetml/2006/main" count="2201" uniqueCount="971">
  <si>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</si>
  <si>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</si>
  <si>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</si>
  <si>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</si>
  <si>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</si>
  <si>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</si>
  <si>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</si>
  <si>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</si>
  <si>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</si>
  <si>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</si>
  <si>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</si>
  <si>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</si>
  <si>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</si>
  <si>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</si>
  <si>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</si>
  <si>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</si>
  <si>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</si>
  <si>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</si>
  <si>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</si>
  <si>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</si>
  <si>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</si>
  <si>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</si>
  <si>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</si>
  <si>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</si>
  <si>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</si>
  <si>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</si>
  <si>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</si>
  <si>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</si>
  <si>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</si>
  <si>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</si>
  <si>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</si>
  <si>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</si>
  <si>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</si>
  <si>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</si>
  <si>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</si>
  <si>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</si>
  <si>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</si>
  <si>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</si>
  <si>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</si>
  <si>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</si>
  <si>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</si>
  <si>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</si>
  <si>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</si>
  <si>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</si>
  <si>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</si>
  <si>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</si>
  <si>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</si>
  <si>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</si>
  <si>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</si>
  <si>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</si>
  <si>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</si>
  <si>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</si>
  <si>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</si>
  <si>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</si>
  <si>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</si>
  <si>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</si>
  <si>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</si>
  <si>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</si>
  <si>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</si>
  <si>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</si>
  <si>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</si>
  <si>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</si>
  <si>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</si>
  <si>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</si>
  <si>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</si>
  <si>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</si>
  <si>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</si>
  <si>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</si>
  <si>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</si>
  <si>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</si>
  <si>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</si>
  <si>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</si>
  <si>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</si>
  <si>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</si>
  <si>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</si>
  <si>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</si>
  <si>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</si>
  <si>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</si>
  <si>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</si>
  <si>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</si>
  <si>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</si>
  <si>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</si>
  <si>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</si>
  <si>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</si>
  <si>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</si>
  <si>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</si>
  <si>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</si>
  <si>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</si>
  <si>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</si>
  <si>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</si>
  <si>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</si>
  <si>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</si>
  <si>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</si>
  <si>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</si>
  <si>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</si>
  <si>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</si>
  <si>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</si>
  <si>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</si>
  <si>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</si>
  <si>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</si>
  <si>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</si>
  <si>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</si>
  <si>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</si>
  <si>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</si>
  <si>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</si>
  <si>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</si>
  <si>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</si>
  <si>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</si>
  <si>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</si>
  <si>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</si>
  <si>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</si>
  <si>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</si>
  <si>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</si>
  <si>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</si>
  <si>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</si>
  <si>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</si>
  <si>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</si>
  <si>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</si>
  <si>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</si>
  <si>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</si>
  <si>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</si>
  <si>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</si>
  <si>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</si>
  <si>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</si>
  <si>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</si>
  <si>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</si>
  <si>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</si>
  <si>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</si>
  <si>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</si>
  <si>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</si>
  <si>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</si>
  <si>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</si>
  <si>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</si>
  <si>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</si>
  <si>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</si>
  <si>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</si>
  <si>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</si>
  <si>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</si>
  <si>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</si>
  <si>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</si>
  <si>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</si>
  <si>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</si>
  <si>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</si>
  <si>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</si>
  <si>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</si>
  <si>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</si>
  <si>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</si>
  <si>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</si>
  <si>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</si>
  <si>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</si>
  <si>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</si>
  <si>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</si>
  <si>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</si>
  <si>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</si>
  <si>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</si>
  <si>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</si>
  <si>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</si>
  <si>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</si>
  <si>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</si>
  <si>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</si>
  <si>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</si>
  <si>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</si>
  <si>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</si>
  <si>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</si>
  <si>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</si>
  <si>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</si>
  <si>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</si>
  <si>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</si>
  <si>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</si>
  <si>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</si>
  <si>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</si>
  <si>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</si>
  <si>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</si>
  <si>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</si>
  <si>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</si>
  <si>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</si>
  <si>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</si>
  <si>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</si>
  <si>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</si>
  <si>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</si>
  <si>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</si>
  <si>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</si>
  <si>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</si>
  <si>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</si>
  <si>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</si>
  <si>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</si>
  <si>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</si>
  <si>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</si>
  <si>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</si>
  <si>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</si>
  <si>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</si>
  <si>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</si>
  <si>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</si>
  <si>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</si>
  <si>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</si>
  <si>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</si>
  <si>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</si>
  <si>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</si>
  <si>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</si>
  <si>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</si>
  <si>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</si>
  <si>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</si>
  <si>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</si>
  <si>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</si>
  <si>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</si>
  <si>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</si>
  <si>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</si>
  <si>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</si>
  <si>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</si>
  <si>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</si>
  <si>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</si>
  <si>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</si>
  <si>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</si>
  <si>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</si>
  <si>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</si>
  <si>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</si>
  <si>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</si>
  <si>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</si>
  <si>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</si>
  <si>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</si>
  <si>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</si>
  <si>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</si>
  <si>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</si>
  <si>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</si>
  <si>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</si>
  <si>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</si>
  <si>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</si>
  <si>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</si>
  <si>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</si>
  <si>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</si>
  <si>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</si>
  <si>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</si>
  <si>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</si>
  <si>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</si>
  <si>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</si>
  <si>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</si>
  <si>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</si>
  <si>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</si>
  <si>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</si>
  <si>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</si>
  <si>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</si>
  <si>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</si>
  <si>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</si>
  <si>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</si>
  <si>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</si>
  <si>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</si>
  <si>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</si>
  <si>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</si>
  <si>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</si>
  <si>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</si>
  <si>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</si>
  <si>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</si>
  <si>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</si>
  <si>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</si>
  <si>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</si>
  <si>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</si>
  <si>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</si>
  <si>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</si>
  <si>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</si>
  <si>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</si>
  <si>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</si>
  <si>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</si>
  <si>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</si>
  <si>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</si>
  <si>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</si>
  <si>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</si>
  <si>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</si>
  <si>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</si>
  <si>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</si>
  <si>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</si>
  <si>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</si>
  <si>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</si>
  <si>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</si>
  <si>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</si>
  <si>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</si>
  <si>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</si>
  <si>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</si>
  <si>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</si>
  <si>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</si>
  <si>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</si>
  <si>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</si>
  <si>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</si>
  <si>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</si>
  <si>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</si>
  <si>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</si>
  <si>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</si>
  <si>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</si>
  <si>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</si>
  <si>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</si>
  <si>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</si>
  <si>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</si>
  <si>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</si>
  <si>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</si>
  <si>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</si>
  <si>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</si>
  <si>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</si>
  <si>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</si>
  <si>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</si>
  <si>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</si>
  <si>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</si>
  <si>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</si>
  <si>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</si>
  <si>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</si>
  <si>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</si>
  <si>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</si>
  <si>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</si>
  <si>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</si>
  <si>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</si>
  <si>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</si>
  <si>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</si>
  <si>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</si>
  <si>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</si>
  <si>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</si>
  <si>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</si>
  <si>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</si>
  <si>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</si>
  <si>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</si>
  <si>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</si>
  <si>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</si>
  <si>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</si>
  <si>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</si>
  <si>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</si>
  <si>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</si>
  <si>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</si>
  <si>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</si>
  <si>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</si>
  <si>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</si>
  <si>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</si>
  <si>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</si>
  <si>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</si>
  <si>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</si>
  <si>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</si>
  <si>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</si>
  <si>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</si>
  <si>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</si>
  <si>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</si>
  <si>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</si>
  <si>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</si>
  <si>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</si>
  <si>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</si>
  <si>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</si>
  <si>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</si>
  <si>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</si>
  <si>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</si>
  <si>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</si>
  <si>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</si>
  <si>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</si>
  <si>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</si>
  <si>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</si>
  <si>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</si>
  <si>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</si>
  <si>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</si>
  <si>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</si>
  <si>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</si>
  <si>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</si>
  <si>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</si>
  <si>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</si>
  <si>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</si>
  <si>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</si>
  <si>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</si>
  <si>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</si>
  <si>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</si>
  <si>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</si>
  <si>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</si>
  <si>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</si>
  <si>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</si>
  <si>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</si>
  <si>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</si>
  <si>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</si>
  <si>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</si>
  <si>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</si>
  <si>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</si>
  <si>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</si>
  <si>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</si>
  <si>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</si>
  <si>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</si>
  <si>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</si>
  <si>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</si>
  <si>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</si>
  <si>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</si>
  <si>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</si>
  <si>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</si>
  <si>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</si>
  <si>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</si>
  <si>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</si>
  <si>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</si>
  <si>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</si>
  <si>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</si>
  <si>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</si>
  <si>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</si>
  <si>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</si>
  <si>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</si>
  <si>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</si>
  <si>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</si>
  <si>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</si>
  <si>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</si>
  <si>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</si>
  <si>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</si>
  <si>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</si>
  <si>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</si>
  <si>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</si>
  <si>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</si>
  <si>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</si>
  <si>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</si>
  <si>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</si>
  <si>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</si>
  <si>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</si>
  <si>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</si>
  <si>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</si>
  <si>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</si>
  <si>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</si>
  <si>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</si>
  <si>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</si>
  <si>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</si>
  <si>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</si>
  <si>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</si>
  <si>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</si>
  <si>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</si>
  <si>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</si>
  <si>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</si>
  <si>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</si>
  <si>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</si>
  <si>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</si>
  <si>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</si>
  <si>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</si>
  <si>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</si>
  <si>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</si>
  <si>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</si>
  <si>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</si>
  <si>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</si>
  <si>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</si>
  <si>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</si>
  <si>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</si>
  <si>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</si>
  <si>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</si>
  <si>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</si>
  <si>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</si>
  <si>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</si>
  <si>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</si>
  <si>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</si>
  <si>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</si>
  <si>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</si>
  <si>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</si>
  <si>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</si>
  <si>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</si>
  <si>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</si>
  <si>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</si>
  <si>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</si>
  <si>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</si>
  <si>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</si>
  <si>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</si>
  <si>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</si>
  <si>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</si>
  <si>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</si>
  <si>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</si>
  <si>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</si>
  <si>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</si>
  <si>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</si>
  <si>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</si>
  <si>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</si>
  <si>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</si>
  <si>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</si>
  <si>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</si>
  <si>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</si>
  <si>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</si>
  <si>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</si>
  <si>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</si>
  <si>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</si>
  <si>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</si>
  <si>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</si>
  <si>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</si>
  <si>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</si>
  <si>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</si>
  <si>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</si>
  <si>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</si>
  <si>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</si>
  <si>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</si>
  <si>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</si>
  <si>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</si>
  <si>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</si>
  <si>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</si>
  <si>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</si>
  <si>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</si>
  <si>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</si>
  <si>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</si>
  <si>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</si>
  <si>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</si>
  <si>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</si>
  <si>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</si>
  <si>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</si>
  <si>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</si>
  <si>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</si>
  <si>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</si>
  <si>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</si>
  <si>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</si>
  <si>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</si>
  <si>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</si>
  <si>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</si>
  <si>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</si>
  <si>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</si>
  <si>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</si>
  <si>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</si>
  <si>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</si>
  <si>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</si>
  <si>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</si>
  <si>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</si>
  <si>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</si>
  <si>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</si>
  <si>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</si>
  <si>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</si>
  <si>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</si>
  <si>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</si>
  <si>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</si>
  <si>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</si>
  <si>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</si>
  <si>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</si>
  <si>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</si>
  <si>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</si>
  <si>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</si>
  <si>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</si>
  <si>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</si>
  <si>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</si>
  <si>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</si>
  <si>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</si>
  <si>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</si>
  <si>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</si>
  <si>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</si>
  <si>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</si>
  <si>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</si>
  <si>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</si>
  <si>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</si>
  <si>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</si>
  <si>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</si>
  <si>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</si>
  <si>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</si>
  <si>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</si>
  <si>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</si>
  <si>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</si>
  <si>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</si>
  <si>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</si>
  <si>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</si>
  <si>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</si>
  <si>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</si>
  <si>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</si>
  <si>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</si>
  <si>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</si>
  <si>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</si>
  <si>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</si>
  <si>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</si>
  <si>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</si>
  <si>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</si>
  <si>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</si>
  <si>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</si>
  <si>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</si>
  <si>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</si>
  <si>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</si>
  <si>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</si>
  <si>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</si>
  <si>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</si>
  <si>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</si>
  <si>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</si>
  <si>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</si>
  <si>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</si>
  <si>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</si>
  <si>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</si>
  <si>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</si>
  <si>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</si>
  <si>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</si>
  <si>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</si>
  <si>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</si>
  <si>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</si>
  <si>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</si>
  <si>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</si>
  <si>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</si>
  <si>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</si>
  <si>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</si>
  <si>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</si>
  <si>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</si>
  <si>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</si>
  <si>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</si>
  <si>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</si>
  <si>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</si>
  <si>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</si>
  <si>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</si>
  <si>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</si>
  <si>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</si>
  <si>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</si>
  <si>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</si>
  <si>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</si>
  <si>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</si>
  <si>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</si>
  <si>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</si>
  <si>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</si>
  <si>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</si>
  <si>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</si>
  <si>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</si>
  <si>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</si>
  <si>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</si>
  <si>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</si>
  <si>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</si>
  <si>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</si>
  <si>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</si>
  <si>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</si>
  <si>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</si>
  <si>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</si>
  <si>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</si>
  <si>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</si>
  <si>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</si>
  <si>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</si>
  <si>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</si>
  <si>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</si>
  <si>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</si>
  <si>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</si>
  <si>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</si>
  <si>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</si>
  <si>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</si>
  <si>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</si>
  <si>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</si>
  <si>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</si>
  <si>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</si>
  <si>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</si>
  <si>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</si>
  <si>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</si>
  <si>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</si>
  <si>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</si>
  <si>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</si>
  <si>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</si>
  <si>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</si>
  <si>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</si>
  <si>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</si>
  <si>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</si>
  <si>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</si>
  <si>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</si>
  <si>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</si>
  <si>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</si>
  <si>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</si>
  <si>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</si>
  <si>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</si>
  <si>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</si>
  <si>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</si>
  <si>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</si>
  <si>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</si>
  <si>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</si>
  <si>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</si>
  <si>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</si>
  <si>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</si>
  <si>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</si>
  <si>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</si>
  <si>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</si>
  <si>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</si>
  <si>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</si>
  <si>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</si>
  <si>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</si>
  <si>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</si>
  <si>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</si>
  <si>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</si>
  <si>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</si>
  <si>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</si>
  <si>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</si>
  <si>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</si>
  <si>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</si>
  <si>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</si>
  <si>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</si>
  <si>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</si>
  <si>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</si>
  <si>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</si>
  <si>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</si>
  <si>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</si>
  <si>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</si>
  <si>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</si>
  <si>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</si>
  <si>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</si>
  <si>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</si>
  <si>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</si>
  <si>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</si>
  <si>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</si>
  <si>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</si>
  <si>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</si>
  <si>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</si>
  <si>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</si>
  <si>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</si>
  <si>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</si>
  <si>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</si>
  <si>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</si>
  <si>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</si>
  <si>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</si>
  <si>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</si>
  <si>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</si>
  <si>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</si>
  <si>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</si>
  <si>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</si>
  <si>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</si>
  <si>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</si>
  <si>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</si>
  <si>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</si>
  <si>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</si>
  <si>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</si>
  <si>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</si>
  <si>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</si>
  <si>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</si>
  <si>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</si>
  <si>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</si>
  <si>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</si>
  <si>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</si>
  <si>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</si>
  <si>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</si>
  <si>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</si>
  <si>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</si>
  <si>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</si>
  <si>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</si>
  <si>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</si>
  <si>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</si>
  <si>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</si>
  <si>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</si>
  <si>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</si>
  <si>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</si>
  <si>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</si>
  <si>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</si>
  <si>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</si>
  <si>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</si>
  <si>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</si>
  <si>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</si>
  <si>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</si>
  <si>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</si>
  <si>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</si>
  <si>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</si>
  <si>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</si>
  <si>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</si>
  <si>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</si>
  <si>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</si>
  <si>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</si>
  <si>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</si>
  <si>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</si>
  <si>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</si>
  <si>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</si>
  <si>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</si>
  <si>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</si>
  <si>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</si>
  <si>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</si>
  <si>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</si>
  <si>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</si>
  <si>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</si>
  <si>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</si>
  <si>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</si>
  <si>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</si>
  <si>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</si>
  <si>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</si>
  <si>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</si>
  <si>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</si>
  <si>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</si>
  <si>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</si>
  <si>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</si>
  <si>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</si>
  <si>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</si>
  <si>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</si>
  <si>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</si>
  <si>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</si>
  <si>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</si>
  <si>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</si>
  <si>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</si>
  <si>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</si>
  <si>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</si>
  <si>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</si>
  <si>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</si>
  <si>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</si>
  <si>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</si>
  <si>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</si>
  <si>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</si>
  <si>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</si>
  <si>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</si>
  <si>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</si>
  <si>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</si>
  <si>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</si>
  <si>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</si>
  <si>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</si>
  <si>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</si>
  <si>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</si>
  <si>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</si>
  <si>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</si>
  <si>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</si>
  <si>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</si>
  <si>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</si>
  <si>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</si>
  <si>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</si>
  <si>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</si>
  <si>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</si>
  <si>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</si>
  <si>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</si>
  <si>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</si>
  <si>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</si>
  <si>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</si>
  <si>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</si>
  <si>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</si>
  <si>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</si>
  <si>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</si>
  <si>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</si>
  <si>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</si>
  <si>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</si>
  <si>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</si>
  <si>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</si>
  <si>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</si>
  <si>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</si>
  <si>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</si>
  <si>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</si>
  <si>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</si>
  <si>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</si>
  <si>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</si>
  <si>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</si>
  <si>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</si>
  <si>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</si>
  <si>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</si>
  <si>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</si>
  <si>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</si>
  <si>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</si>
  <si>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</si>
  <si>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</si>
  <si>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</si>
  <si>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</si>
  <si>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</si>
  <si>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</si>
  <si>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</si>
  <si>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</si>
  <si>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</si>
  <si>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</si>
  <si>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</si>
  <si>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</si>
  <si>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</si>
  <si>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</si>
  <si>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</si>
  <si>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</si>
  <si>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</si>
  <si>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</si>
  <si>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</si>
  <si>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</si>
  <si>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</si>
  <si>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</si>
  <si>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</si>
  <si>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</si>
  <si>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</si>
  <si>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</si>
  <si>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</si>
  <si>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</si>
  <si>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</si>
  <si>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</si>
  <si>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</si>
  <si>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</si>
  <si>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</si>
  <si>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</si>
  <si>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</si>
  <si>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</si>
  <si>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</si>
  <si>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</si>
  <si>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</si>
  <si>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</si>
  <si>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</si>
  <si>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</si>
  <si>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</si>
  <si>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</si>
  <si>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</si>
  <si>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</si>
  <si>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</si>
  <si>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</si>
  <si>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</si>
  <si>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</si>
  <si>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</si>
  <si>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</si>
  <si>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</si>
  <si>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</si>
  <si>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</si>
  <si>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</si>
  <si>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</si>
  <si>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</si>
  <si>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</si>
  <si>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</si>
  <si>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</si>
  <si>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</si>
  <si>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</si>
  <si>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</si>
  <si>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</si>
  <si>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</si>
  <si>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</si>
  <si>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</si>
  <si>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</si>
  <si>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</si>
  <si>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</si>
  <si>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</si>
  <si>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</si>
  <si>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</si>
  <si>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</si>
  <si>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</si>
  <si>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</si>
  <si>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</si>
  <si>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</si>
  <si>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</si>
  <si>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</si>
  <si>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</si>
  <si>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</si>
  <si>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</si>
  <si>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</si>
  <si>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</si>
  <si>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</si>
  <si>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</si>
  <si>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</si>
  <si>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</si>
  <si>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</si>
  <si>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</si>
  <si>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</si>
  <si>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</si>
  <si>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</si>
  <si>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</si>
  <si>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</si>
  <si>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</si>
  <si>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</si>
  <si>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</si>
  <si>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</si>
  <si>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</si>
  <si>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</si>
  <si>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</si>
  <si>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</si>
  <si>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</si>
  <si>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</si>
  <si>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</si>
  <si>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</si>
  <si>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</si>
  <si>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</si>
  <si>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</si>
  <si>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</si>
  <si>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</si>
  <si>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</si>
  <si>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</si>
  <si>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</si>
  <si>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</si>
  <si>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</si>
  <si>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</si>
  <si>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</si>
  <si>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</si>
  <si>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</si>
  <si>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</si>
  <si>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</si>
  <si>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</si>
  <si>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</si>
  <si>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</si>
  <si>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</si>
  <si>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</si>
  <si>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</si>
  <si>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</si>
  <si>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</si>
  <si>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</si>
  <si>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</si>
  <si>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</si>
  <si>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</si>
  <si>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</si>
  <si>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</si>
  <si>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</si>
  <si>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</si>
  <si>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</si>
  <si>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</si>
  <si>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</si>
  <si>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</si>
  <si>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</si>
  <si>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</si>
  <si>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</si>
  <si>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</si>
  <si>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</si>
  <si>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</si>
  <si>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</si>
  <si>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CANARIAS</t>
  </si>
  <si>
    <t>Provincias</t>
  </si>
  <si>
    <t>LAS PALMAS</t>
  </si>
  <si>
    <t>Resumenes por Partidos Judiciales</t>
  </si>
  <si>
    <t>ARRECIFE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</si>
</sst>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964</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965</v>
      </c>
      <c r="B9" s="385" t="s">
        <v>966</v>
      </c>
      <c r="C9" s="382"/>
      <c r="D9" s="382"/>
      <c r="E9" s="391"/>
      <c r="F9" s="3"/>
    </row>
    <row r="10" spans="1:19">
      <c r="A10" s="390" t="s">
        <v>967</v>
      </c>
      <c r="B10" s="382" t="s">
        <v>968</v>
      </c>
      <c r="C10" s="382"/>
      <c r="D10" s="382"/>
      <c r="E10" s="391"/>
      <c r="F10" s="3"/>
      <c r="Q10" s="356">
        <v>0</v>
      </c>
    </row>
    <row r="11" spans="1:19" ht="13.5" thickBot="1">
      <c r="A11" s="392" t="s">
        <v>969</v>
      </c>
      <c r="B11" s="393" t="s">
        <v>970</v>
      </c>
      <c r="C11" s="393"/>
      <c r="D11" s="393"/>
      <c r="E11" s="394"/>
      <c r="F11" s="3"/>
    </row>
    <row r="12" spans="1:19" ht="40.5" customHeight="1" thickBot="1">
      <c r="A12" s="384"/>
      <c r="B12" s="382"/>
      <c r="C12" s="382"/>
      <c r="D12" s="382"/>
      <c r="E12" s="382"/>
      <c r="F12" s="3"/>
      <c r="Q12" s="1267"/>
    </row>
    <row r="13" spans="1:19" ht="15">
      <c r="A13" s="395" t="s">
        <v>137</v>
      </c>
      <c r="B13" s="396" t="s">
        <v>58</v>
      </c>
      <c r="C13" s="937" t="s">
        <v>787</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bGUbdnoWPTwnVQaVVUO060U559J0Wv2qvtKhoD9s7Ye8eOmD0GLCSt39LXkh7G/uBI0MySvLnjM7aeQ65VVYA==" saltValue="QgBJe6v1Jlsad8fRAyIB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CANARIAS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895</v>
      </c>
      <c r="T7" s="1310" t="s">
        <v>896</v>
      </c>
      <c r="U7" s="1310" t="s">
        <v>897</v>
      </c>
      <c r="V7" s="1310" t="s">
        <v>898</v>
      </c>
      <c r="W7" s="1252" t="s">
        <v>500</v>
      </c>
      <c r="X7" s="1328" t="s">
        <v>915</v>
      </c>
      <c r="Y7" s="1328" t="s">
        <v>916</v>
      </c>
      <c r="Z7" s="1329" t="s">
        <v>917</v>
      </c>
      <c r="AA7" s="1255" t="s">
        <v>500</v>
      </c>
      <c r="AB7" s="1326" t="s">
        <v>501</v>
      </c>
      <c r="AC7" s="1326" t="s">
        <v>918</v>
      </c>
      <c r="AD7" s="1327" t="s">
        <v>919</v>
      </c>
      <c r="AE7" s="1256" t="s">
        <v>893</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5</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33.496161228406912</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11</v>
      </c>
      <c r="D10" s="230">
        <f>IF(ISNUMBER(Datos!I10),Datos!I10," - ")</f>
        <v>11</v>
      </c>
      <c r="E10" s="231">
        <f>IF(ISNUMBER(Datos!J10),Datos!J10," - ")</f>
        <v>29</v>
      </c>
      <c r="F10" s="231">
        <f>IF(ISNUMBER(Datos!K10),Datos!K10," - ")</f>
        <v>27</v>
      </c>
      <c r="G10" s="1193" t="str">
        <f>IF(Datos!E10&lt;&gt;"",Datos!E10,Datos!D10)</f>
        <v>37</v>
      </c>
      <c r="H10" s="232">
        <f>IF(ISNUMBER(Datos!L10),Datos!L10," - ")</f>
        <v>13</v>
      </c>
      <c r="I10" s="1203" t="str">
        <f>IF(ISNUMBER(Datos!AS10/Datos!BM10),Datos!AS10/Datos!BM10," - ")</f>
        <v xml:space="preserve"> - </v>
      </c>
      <c r="J10" s="1204">
        <f>IF(ISNUMBER(Datos!BY10/Datos!CN10),Datos!BY10/Datos!CN10," - ")</f>
        <v>0</v>
      </c>
      <c r="K10" s="235">
        <f t="shared" ref="K10:K13" si="1">IF(ISNUMBER((E10-F10)/C10),(E10-F10)/C10," - ")</f>
        <v>0.18181818181818182</v>
      </c>
      <c r="L10" s="1205">
        <f>IF(ISNUMBER(NºAsuntos!I10/NºAsuntos!G10),(NºAsuntos!I10/NºAsuntos!G10)*11," - ")</f>
        <v>5.2962962962962958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11</v>
      </c>
      <c r="D14" s="1210">
        <f>SUBTOTAL(9,D9:D13)</f>
        <v>11</v>
      </c>
      <c r="E14" s="1211">
        <f>SUBTOTAL(9,E9:E13)</f>
        <v>29</v>
      </c>
      <c r="F14" s="1212">
        <f>SUBTOTAL(9,F9:F13)</f>
        <v>27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4</v>
      </c>
      <c r="B16" s="1258" t="str">
        <f>Datos!A16</f>
        <v xml:space="preserve">Jdos. Instrucción                               </v>
      </c>
      <c r="C16" s="230">
        <f t="shared" ref="C16:C19" si="2">IF(ISNUMBER(H16-E16+F16),H16-E16+F16," - ")</f>
        <v>1572</v>
      </c>
      <c r="D16" s="230">
        <f>IF(ISNUMBER(IF(D_I="SI",Datos!I16,Datos!I16+Datos!AC16)),IF(D_I="SI",Datos!I16,Datos!I16+Datos!AC16)," - ")</f>
        <v>1531</v>
      </c>
      <c r="E16" s="231">
        <f>IF(ISNUMBER(IF(D_I="SI",Datos!J16,Datos!J16+Datos!AD16)),IF(D_I="SI",Datos!J16,Datos!J16+Datos!AD16)," - ")</f>
        <v>3539</v>
      </c>
      <c r="F16" s="231">
        <f>IF(ISNUMBER(IF(D_I="SI",Datos!K16,Datos!K16+Datos!AE16)),IF(D_I="SI",Datos!K16,Datos!K16+Datos!AE16)," - ")</f>
        <v>3420</v>
      </c>
      <c r="G16" s="1193" t="str">
        <f>IF(Datos!E16&lt;&gt;"",Datos!E16,Datos!D16)</f>
        <v>03</v>
      </c>
      <c r="H16" s="232">
        <f>IF(ISNUMBER(IF(D_I="SI",Datos!L16,Datos!L16+Datos!AF16)),IF(D_I="SI",Datos!L16,Datos!L16+Datos!AF16)," - ")</f>
        <v>1691</v>
      </c>
      <c r="I16" s="1203" t="str">
        <f>IF(ISNUMBER(Datos!AS16/Datos!BM16),Datos!AS16/Datos!BM16," - ")</f>
        <v xml:space="preserve"> - </v>
      </c>
      <c r="J16" s="1204">
        <f>IF(ISNUMBER(Datos!BY16/Datos!CN16),Datos!BY16/Datos!CN16," - ")</f>
        <v>0</v>
      </c>
      <c r="K16" s="235">
        <f t="shared" ref="K16:K19" si="3">IF(ISNUMBER((E16-F16)/C16),(E16-F16)/C16," - ")</f>
        <v>7.5699745547073788E-2</v>
      </c>
      <c r="L16" s="1205">
        <f>IF(ISNUMBER(NºAsuntos!I16/NºAsuntos!G16),(NºAsuntos!I16/NºAsuntos!G16)*11," - ")</f>
        <v>5.4388888888888891</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f t="shared" si="2"/>
        <v>1</v>
      </c>
      <c r="D17" s="230">
        <f>IF(ISNUMBER(IF(D_I="SI",Datos!I17,Datos!I17+Datos!AC17)),IF(D_I="SI",Datos!I17,Datos!I17+Datos!AC17)," - ")</f>
        <v>1</v>
      </c>
      <c r="E17" s="231">
        <f>IF(ISNUMBER(IF(D_I="SI",Datos!J17,Datos!J17+Datos!AD17)),IF(D_I="SI",Datos!J17,Datos!J17+Datos!AD17)," - ")</f>
        <v>0</v>
      </c>
      <c r="F17" s="231">
        <f>IF(ISNUMBER(IF(D_I="SI",Datos!K17,Datos!K17+Datos!AE17)),IF(D_I="SI",Datos!K17,Datos!K17+Datos!AE17)," - ")</f>
        <v>0</v>
      </c>
      <c r="G17" s="1193" t="str">
        <f>IF(Datos!E17&lt;&gt;"",Datos!E17,Datos!D17)</f>
        <v>04</v>
      </c>
      <c r="H17" s="232">
        <f>IF(ISNUMBER(IF(D_I="SI",Datos!L17,Datos!L17+Datos!AF17)),IF(D_I="SI",Datos!L17,Datos!L17+Datos!AF17)," - ")</f>
        <v>1</v>
      </c>
      <c r="I17" s="1203" t="str">
        <f>IF(ISNUMBER(Datos!AS17/Datos!BM17),Datos!AS17/Datos!BM17," - ")</f>
        <v xml:space="preserve"> - </v>
      </c>
      <c r="J17" s="1204">
        <f>IF(ISNUMBER(Datos!BY17/Datos!CN17),Datos!BY17/Datos!CN17," - ")</f>
        <v>0</v>
      </c>
      <c r="K17" s="235">
        <f t="shared" si="3"/>
        <v>0</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112</v>
      </c>
      <c r="D18" s="230">
        <f>IF(ISNUMBER(IF(D_I="SI",Datos!I18,Datos!I18+Datos!AC18)),IF(D_I="SI",Datos!I18,Datos!I18+Datos!AC18)," - ")</f>
        <v>108</v>
      </c>
      <c r="E18" s="231">
        <f>IF(ISNUMBER(IF(D_I="SI",Datos!J18,Datos!J18+Datos!AD18)),IF(D_I="SI",Datos!J18,Datos!J18+Datos!AD18)," - ")</f>
        <v>142</v>
      </c>
      <c r="F18" s="231">
        <f>IF(ISNUMBER(IF(D_I="SI",Datos!K18,Datos!K18+Datos!AE18)),IF(D_I="SI",Datos!K18,Datos!K18+Datos!AE18)," - ")</f>
        <v>154</v>
      </c>
      <c r="G18" s="1193" t="str">
        <f>IF(Datos!E18&lt;&gt;"",Datos!E18,Datos!D18)</f>
        <v>37</v>
      </c>
      <c r="H18" s="232">
        <f>IF(ISNUMBER(IF(D_I="SI",Datos!L18,Datos!L18+Datos!AF18)),IF(D_I="SI",Datos!L18,Datos!L18+Datos!AF18)," - ")</f>
        <v>100</v>
      </c>
      <c r="I18" s="1203" t="str">
        <f>IF(ISNUMBER(Datos!AS18/Datos!BM18),Datos!AS18/Datos!BM18," - ")</f>
        <v xml:space="preserve"> - </v>
      </c>
      <c r="J18" s="1204" t="str">
        <f>IF(ISNUMBER((Datos!BY18+Datos!BZ18)/Datos!CN18),(Datos!BY18+Datos!BZ18)/Datos!CN18," - ")</f>
        <v xml:space="preserve"> - </v>
      </c>
      <c r="K18" s="235">
        <f t="shared" si="3"/>
        <v>-0.10714285714285714</v>
      </c>
      <c r="L18" s="1205">
        <f>IF(ISNUMBER(NºAsuntos!I18/NºAsuntos!G18),(NºAsuntos!I18/NºAsuntos!G18)*11," - ")</f>
        <v>7.1428571428571423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1685</v>
      </c>
      <c r="D20" s="1210">
        <f>SUBTOTAL(9,D16:D19)</f>
        <v>1640</v>
      </c>
      <c r="E20" s="1211">
        <f>SUBTOTAL(9,E16:E19)</f>
        <v>3681</v>
      </c>
      <c r="F20" s="1211">
        <f>SUBTOTAL(9,F16:F19)</f>
        <v>3574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1696</v>
      </c>
      <c r="D21" s="1232">
        <f>SUBTOTAL(9,D9:D20)</f>
        <v>1651</v>
      </c>
      <c r="E21" s="1233">
        <f>SUBTOTAL(9,E9:E20)</f>
        <v>3710</v>
      </c>
      <c r="F21" s="1233">
        <f>SUBTOTAL(9,F9:F20)</f>
        <v>3601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690</v>
      </c>
      <c r="O27" s="1522"/>
      <c r="P27" s="1522"/>
      <c r="Q27" s="1522"/>
      <c r="R27" s="1522"/>
      <c r="S27" s="1522"/>
      <c r="T27" s="1522"/>
      <c r="U27" s="1522"/>
      <c r="V27" s="1522"/>
      <c r="W27" s="1522"/>
      <c r="Y27" s="1522" t="s">
        <v>691</v>
      </c>
      <c r="Z27" s="1522"/>
      <c r="AA27" s="1522"/>
      <c r="AB27" s="1522"/>
      <c r="AC27" s="1522"/>
    </row>
    <row r="29" spans="1:31">
      <c r="N29" s="1189" t="s">
        <v>692</v>
      </c>
      <c r="O29" s="1523" t="s">
        <v>693</v>
      </c>
      <c r="P29" s="1523"/>
      <c r="Q29" s="1523"/>
      <c r="R29" s="1523"/>
      <c r="S29" s="1523"/>
      <c r="T29" s="1523"/>
      <c r="U29" s="1523"/>
      <c r="V29" s="1523"/>
      <c r="W29" s="1523"/>
      <c r="Y29" s="1189" t="s">
        <v>692</v>
      </c>
      <c r="Z29" s="1524" t="s">
        <v>694</v>
      </c>
      <c r="AA29" s="1524"/>
      <c r="AB29" s="1524"/>
      <c r="AC29" s="1524"/>
    </row>
    <row r="30" spans="1:31">
      <c r="N30" s="1189" t="s">
        <v>695</v>
      </c>
      <c r="O30" s="1523" t="s">
        <v>696</v>
      </c>
      <c r="P30" s="1523"/>
      <c r="Q30" s="1523"/>
      <c r="R30" s="1523"/>
      <c r="S30" s="1523"/>
      <c r="T30" s="1523"/>
      <c r="U30" s="1523"/>
      <c r="V30" s="1523"/>
      <c r="W30" s="1523"/>
      <c r="Y30" s="1189" t="s">
        <v>695</v>
      </c>
      <c r="Z30" s="1524" t="s">
        <v>697</v>
      </c>
      <c r="AA30" s="1524"/>
      <c r="AB30" s="1524"/>
      <c r="AC30" s="1524"/>
    </row>
    <row r="31" spans="1:31">
      <c r="N31" s="1189" t="s">
        <v>698</v>
      </c>
      <c r="O31" s="1523" t="s">
        <v>699</v>
      </c>
      <c r="P31" s="1523"/>
      <c r="Q31" s="1523"/>
      <c r="R31" s="1523"/>
      <c r="S31" s="1523"/>
      <c r="T31" s="1523"/>
      <c r="U31" s="1523"/>
      <c r="V31" s="1523"/>
      <c r="W31" s="1523"/>
      <c r="Y31" s="1189" t="s">
        <v>700</v>
      </c>
      <c r="Z31" s="1524" t="s">
        <v>701</v>
      </c>
      <c r="AA31" s="1524"/>
      <c r="AB31" s="1524"/>
      <c r="AC31" s="1524"/>
    </row>
    <row r="32" spans="1:31">
      <c r="N32" s="1189" t="s">
        <v>702</v>
      </c>
      <c r="O32" s="1523" t="s">
        <v>703</v>
      </c>
      <c r="P32" s="1523"/>
      <c r="Q32" s="1523"/>
      <c r="R32" s="1523"/>
      <c r="S32" s="1523"/>
      <c r="T32" s="1523"/>
      <c r="U32" s="1523"/>
      <c r="V32" s="1523"/>
      <c r="W32" s="1523"/>
      <c r="Y32" s="1189" t="s">
        <v>704</v>
      </c>
      <c r="Z32" s="1524" t="s">
        <v>705</v>
      </c>
      <c r="AA32" s="1524"/>
      <c r="AB32" s="1524"/>
      <c r="AC32" s="1524"/>
    </row>
    <row r="33" spans="14:29">
      <c r="N33" s="1189" t="s">
        <v>790</v>
      </c>
      <c r="O33" s="1523" t="s">
        <v>791</v>
      </c>
      <c r="P33" s="1523"/>
      <c r="Q33" s="1523"/>
      <c r="R33" s="1523"/>
      <c r="S33" s="1523"/>
      <c r="T33" s="1523"/>
      <c r="U33" s="1523"/>
      <c r="V33" s="1523"/>
      <c r="W33" s="1523"/>
      <c r="Y33" s="1189" t="s">
        <v>698</v>
      </c>
      <c r="Z33" s="1524" t="s">
        <v>699</v>
      </c>
      <c r="AA33" s="1524"/>
      <c r="AB33" s="1524"/>
      <c r="AC33" s="1524"/>
    </row>
    <row r="34" spans="14:29">
      <c r="N34" s="1189" t="s">
        <v>706</v>
      </c>
      <c r="O34" s="1523" t="s">
        <v>707</v>
      </c>
      <c r="P34" s="1523"/>
      <c r="Q34" s="1523"/>
      <c r="R34" s="1523"/>
      <c r="S34" s="1523"/>
      <c r="T34" s="1523"/>
      <c r="U34" s="1523"/>
      <c r="V34" s="1523"/>
      <c r="W34" s="1523"/>
      <c r="Y34" s="1189" t="s">
        <v>702</v>
      </c>
      <c r="Z34" s="1524" t="s">
        <v>703</v>
      </c>
      <c r="AA34" s="1524"/>
      <c r="AB34" s="1524"/>
      <c r="AC34" s="1524"/>
    </row>
    <row r="35" spans="14:29">
      <c r="N35" s="1189" t="s">
        <v>708</v>
      </c>
      <c r="O35" s="1523" t="s">
        <v>709</v>
      </c>
      <c r="P35" s="1523"/>
      <c r="Q35" s="1523"/>
      <c r="R35" s="1523"/>
      <c r="S35" s="1523"/>
      <c r="T35" s="1523"/>
      <c r="U35" s="1523"/>
      <c r="V35" s="1523"/>
      <c r="W35" s="1523"/>
      <c r="Y35" s="1189" t="s">
        <v>711</v>
      </c>
      <c r="Z35" s="1524" t="s">
        <v>712</v>
      </c>
      <c r="AA35" s="1524"/>
      <c r="AB35" s="1524"/>
      <c r="AC35" s="1524"/>
    </row>
    <row r="36" spans="14:29">
      <c r="N36" s="1189" t="s">
        <v>700</v>
      </c>
      <c r="O36" s="1523" t="s">
        <v>710</v>
      </c>
      <c r="P36" s="1523"/>
      <c r="Q36" s="1523"/>
      <c r="R36" s="1523"/>
      <c r="S36" s="1523"/>
      <c r="T36" s="1523"/>
      <c r="U36" s="1523"/>
      <c r="V36" s="1523"/>
      <c r="W36" s="1523"/>
      <c r="Y36" s="1189" t="s">
        <v>714</v>
      </c>
      <c r="Z36" s="1524" t="s">
        <v>715</v>
      </c>
      <c r="AA36" s="1524"/>
      <c r="AB36" s="1524"/>
      <c r="AC36" s="1524"/>
    </row>
    <row r="37" spans="14:29">
      <c r="N37" s="1189" t="s">
        <v>704</v>
      </c>
      <c r="O37" s="1523" t="s">
        <v>713</v>
      </c>
      <c r="P37" s="1523"/>
      <c r="Q37" s="1523"/>
      <c r="R37" s="1523"/>
      <c r="S37" s="1523"/>
      <c r="T37" s="1523"/>
      <c r="U37" s="1523"/>
      <c r="V37" s="1523"/>
      <c r="W37" s="1523"/>
      <c r="Y37" s="1190" t="s">
        <v>717</v>
      </c>
      <c r="Z37" s="1525" t="s">
        <v>718</v>
      </c>
      <c r="AA37" s="1525"/>
      <c r="AB37" s="1525"/>
      <c r="AC37" s="1525"/>
    </row>
    <row r="38" spans="14:29">
      <c r="N38" s="1189" t="s">
        <v>711</v>
      </c>
      <c r="O38" s="1523" t="s">
        <v>716</v>
      </c>
      <c r="P38" s="1523"/>
      <c r="Q38" s="1523"/>
      <c r="R38" s="1523"/>
      <c r="S38" s="1523"/>
      <c r="T38" s="1523"/>
      <c r="U38" s="1523"/>
      <c r="V38" s="1523"/>
      <c r="W38" s="1523"/>
      <c r="Y38" s="1189" t="s">
        <v>706</v>
      </c>
      <c r="Z38" s="1524" t="s">
        <v>707</v>
      </c>
      <c r="AA38" s="1524"/>
      <c r="AB38" s="1524"/>
      <c r="AC38" s="1524"/>
    </row>
    <row r="39" spans="14:29">
      <c r="N39" s="1189" t="s">
        <v>719</v>
      </c>
      <c r="O39" s="1523" t="s">
        <v>720</v>
      </c>
      <c r="P39" s="1523"/>
      <c r="Q39" s="1523"/>
      <c r="R39" s="1523"/>
      <c r="S39" s="1523"/>
      <c r="T39" s="1523"/>
      <c r="U39" s="1523"/>
      <c r="V39" s="1523"/>
      <c r="W39" s="1523"/>
      <c r="Y39" s="1191" t="s">
        <v>708</v>
      </c>
      <c r="Z39" s="1527" t="s">
        <v>709</v>
      </c>
      <c r="AA39" s="1527"/>
      <c r="AB39" s="1527"/>
      <c r="AC39" s="1527"/>
    </row>
    <row r="40" spans="14:29">
      <c r="N40" s="1189" t="s">
        <v>714</v>
      </c>
      <c r="O40" s="1523" t="s">
        <v>721</v>
      </c>
      <c r="P40" s="1523"/>
      <c r="Q40" s="1523"/>
      <c r="R40" s="1523"/>
      <c r="S40" s="1523"/>
      <c r="T40" s="1523"/>
      <c r="U40" s="1523"/>
      <c r="V40" s="1523"/>
      <c r="W40" s="1523"/>
    </row>
    <row r="41" spans="14:29">
      <c r="N41" s="1191" t="s">
        <v>717</v>
      </c>
      <c r="O41" s="1526" t="s">
        <v>722</v>
      </c>
      <c r="P41" s="1526"/>
      <c r="Q41" s="1526"/>
      <c r="R41" s="1526"/>
      <c r="S41" s="1526"/>
      <c r="T41" s="1526"/>
      <c r="U41" s="1526"/>
      <c r="V41" s="1526"/>
      <c r="W41" s="1526"/>
    </row>
  </sheetData>
  <sheetProtection algorithmName="SHA-512" hashValue="lSDezcdTZdN2Un6JqglFXG5OiSIxoizI9FzRXKv4axNcHUjTB3dQ40aCW6XcRGSqRAIJ4upE/6NjkgjXnLHcIQ==" saltValue="CnXpz8R61/k0PPRzIHLDI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7Fqf8FeGGq/4OJD9TIrQ3xMD4teM7o115p4SS/TAgMbmRN050SJ8ne0Oe2+VwmLlsnLNqQu8GyX90B8ASuWbAQ==" saltValue="bxCFF1299qV9Eu2qWF9C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812</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488" t="s">
        <v>811</v>
      </c>
      <c r="ER8" s="488">
        <v>148</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v>5083</v>
      </c>
      <c r="J9" s="186">
        <v>3045</v>
      </c>
      <c r="K9" s="186">
        <v>1956</v>
      </c>
      <c r="L9" s="186">
        <v>6172</v>
      </c>
      <c r="M9" s="186">
        <v>287</v>
      </c>
      <c r="N9" s="186">
        <v>1298</v>
      </c>
      <c r="O9" s="186">
        <v>666</v>
      </c>
      <c r="P9" s="186">
        <v>353</v>
      </c>
      <c r="Q9" s="186">
        <v>329</v>
      </c>
      <c r="R9" s="186">
        <v>6824</v>
      </c>
      <c r="S9" s="186">
        <v>4226</v>
      </c>
      <c r="T9" s="186">
        <v>2528</v>
      </c>
      <c r="U9" s="186">
        <v>2345</v>
      </c>
      <c r="V9" s="186">
        <v>4414</v>
      </c>
      <c r="W9" s="186">
        <v>400</v>
      </c>
      <c r="X9" s="193">
        <v>1445</v>
      </c>
      <c r="Y9" s="196">
        <v>179</v>
      </c>
      <c r="Z9" s="186">
        <v>123</v>
      </c>
      <c r="AA9" s="186">
        <v>128</v>
      </c>
      <c r="AB9" s="186">
        <v>174</v>
      </c>
      <c r="AC9" s="186">
        <v>0</v>
      </c>
      <c r="AD9" s="186">
        <v>0</v>
      </c>
      <c r="AE9" s="186">
        <v>0</v>
      </c>
      <c r="AF9" s="193">
        <v>0</v>
      </c>
      <c r="AG9" s="196">
        <v>134</v>
      </c>
      <c r="AH9" s="186">
        <v>163</v>
      </c>
      <c r="AI9" s="186">
        <v>128</v>
      </c>
      <c r="AJ9" s="197">
        <v>164</v>
      </c>
      <c r="AK9" s="185">
        <v>0</v>
      </c>
      <c r="AL9" s="186">
        <v>0</v>
      </c>
      <c r="AM9" s="186">
        <v>0</v>
      </c>
      <c r="AN9" s="193">
        <v>0</v>
      </c>
      <c r="AO9" s="263">
        <v>5</v>
      </c>
      <c r="AP9" s="159">
        <v>5</v>
      </c>
      <c r="AQ9" s="159">
        <v>5</v>
      </c>
      <c r="AR9" s="198">
        <v>5</v>
      </c>
      <c r="AS9" s="348" t="s">
        <v>863</v>
      </c>
      <c r="AT9" s="200"/>
      <c r="AU9" s="199"/>
      <c r="AV9" s="200"/>
      <c r="AW9" s="199"/>
      <c r="AX9" s="200"/>
      <c r="AY9" s="125">
        <f>IF(ISNUMBER(IF(J_V="SI",S9,S9+AG9)),IF(J_V="SI",S9,S9+AG9)," - ")</f>
        <v>4360</v>
      </c>
      <c r="AZ9" s="125">
        <f>IF(ISNUMBER(IF(J_V="SI",T9,T9+AH9)),IF(J_V="SI",T9,T9+AH9)," - ")</f>
        <v>2691</v>
      </c>
      <c r="BA9" s="126">
        <f>IF(ISNUMBER(IF(J_V="SI",U9,U9+AI9)),IF(J_V="SI",U9,U9+AI9)," - ")</f>
        <v>2473</v>
      </c>
      <c r="BB9" s="126">
        <f>IF(ISNUMBER(IF(J_V="SI",V9,V9+AJ9)),IF(J_V="SI",V9,V9+AJ9)," - ")</f>
        <v>4578</v>
      </c>
      <c r="BC9" s="127">
        <f>IF(ISNUMBER(X9),X9," - ")</f>
        <v>1445</v>
      </c>
      <c r="BD9" s="128">
        <f>IF(ISNUMBER(BA9/AZ9),BA9/AZ9," - ")</f>
        <v>0.91898922333704947</v>
      </c>
      <c r="BE9" s="129">
        <f>IF(ISNUMBER(BB9/BA9),BB9/BA9, " - ")</f>
        <v>1.8511928831378892</v>
      </c>
      <c r="BF9" s="129">
        <f>IF(ISNUMBER(BC9/BA9),BC9/BA9, " - ")</f>
        <v>0.58431055398301657</v>
      </c>
      <c r="BG9" s="201">
        <f>IF(ISNUMBER((AY9+AZ9)/BA9),(AY9+AZ9)/BA9," - ")</f>
        <v>2.8511928831378892</v>
      </c>
      <c r="BH9" s="159">
        <v>5</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957</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11</v>
      </c>
      <c r="J10" s="186">
        <v>29</v>
      </c>
      <c r="K10" s="186">
        <v>27</v>
      </c>
      <c r="L10" s="186">
        <v>13</v>
      </c>
      <c r="M10" s="186">
        <v>10</v>
      </c>
      <c r="N10" s="186">
        <v>12</v>
      </c>
      <c r="O10" s="186">
        <v>1</v>
      </c>
      <c r="P10" s="186">
        <v>7</v>
      </c>
      <c r="Q10" s="186">
        <v>2</v>
      </c>
      <c r="R10" s="186">
        <v>26</v>
      </c>
      <c r="S10" s="186">
        <v>25</v>
      </c>
      <c r="T10" s="186">
        <v>31</v>
      </c>
      <c r="U10" s="186">
        <v>31</v>
      </c>
      <c r="V10" s="186">
        <v>25</v>
      </c>
      <c r="W10" s="186">
        <v>11</v>
      </c>
      <c r="X10" s="193">
        <v>16</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857</v>
      </c>
      <c r="AT10" s="197"/>
      <c r="AU10" s="205"/>
      <c r="AV10" s="197"/>
      <c r="AW10" s="205"/>
      <c r="AX10" s="197"/>
      <c r="AY10" s="130">
        <f t="shared" ref="AY10:BC10" si="0">IF(ISNUMBER(S10),S10," - ")</f>
        <v>25</v>
      </c>
      <c r="AZ10" s="131">
        <f t="shared" si="0"/>
        <v>31</v>
      </c>
      <c r="BA10" s="131">
        <f t="shared" si="0"/>
        <v>31</v>
      </c>
      <c r="BB10" s="131">
        <f t="shared" si="0"/>
        <v>25</v>
      </c>
      <c r="BC10" s="127">
        <f t="shared" si="0"/>
        <v>11</v>
      </c>
      <c r="BD10" s="128">
        <f>IF(ISNUMBER(BA10/AZ10),BA10/AZ10," - ")</f>
        <v>1</v>
      </c>
      <c r="BE10" s="129">
        <f>IF(ISNUMBER(BB10/BA10),BB10/BA10, " - ")</f>
        <v>0.80645161290322576</v>
      </c>
      <c r="BF10" s="129">
        <f>IF(ISNUMBER(BC10/BA10),BC10/BA10, " - ")</f>
        <v>0.35483870967741937</v>
      </c>
      <c r="BG10" s="201">
        <f>IF(ISNUMBER((AY10+AZ10)/BA10),(AY10+AZ10)/BA10," - ")</f>
        <v>1.8064516129032258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831</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872</v>
      </c>
      <c r="J11" s="188" t="s">
        <v>864</v>
      </c>
      <c r="K11" s="188" t="s">
        <v>920</v>
      </c>
      <c r="L11" s="188" t="s">
        <v>877</v>
      </c>
      <c r="M11" s="188" t="s">
        <v>541</v>
      </c>
      <c r="N11" s="188" t="s">
        <v>555</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865</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958</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v>
      </c>
      <c r="J12" s="188">
        <v>0</v>
      </c>
      <c r="K12" s="188">
        <v>0</v>
      </c>
      <c r="L12" s="188">
        <v>1</v>
      </c>
      <c r="M12" s="188">
        <v>0</v>
      </c>
      <c r="N12" s="188">
        <v>0</v>
      </c>
      <c r="O12" s="186">
        <v>10</v>
      </c>
      <c r="P12" s="188">
        <v>9</v>
      </c>
      <c r="Q12" s="188">
        <v>12</v>
      </c>
      <c r="R12" s="188">
        <v>658</v>
      </c>
      <c r="S12" s="188">
        <v>1</v>
      </c>
      <c r="T12" s="188">
        <v>0</v>
      </c>
      <c r="U12" s="188">
        <v>0</v>
      </c>
      <c r="V12" s="188">
        <v>1</v>
      </c>
      <c r="W12" s="188">
        <v>0</v>
      </c>
      <c r="X12" s="194">
        <v>0</v>
      </c>
      <c r="Y12" s="196">
        <v>0</v>
      </c>
      <c r="Z12" s="186">
        <v>0</v>
      </c>
      <c r="AA12" s="186">
        <v>0</v>
      </c>
      <c r="AB12" s="186">
        <v>0</v>
      </c>
      <c r="AC12" s="188">
        <v>0</v>
      </c>
      <c r="AD12" s="188">
        <v>0</v>
      </c>
      <c r="AE12" s="188">
        <v>0</v>
      </c>
      <c r="AF12" s="194">
        <v>0</v>
      </c>
      <c r="AG12" s="207">
        <v>0</v>
      </c>
      <c r="AH12" s="188">
        <v>0</v>
      </c>
      <c r="AI12" s="188">
        <v>0</v>
      </c>
      <c r="AJ12" s="208">
        <v>0</v>
      </c>
      <c r="AK12" s="187">
        <v>0</v>
      </c>
      <c r="AL12" s="188">
        <v>0</v>
      </c>
      <c r="AM12" s="188">
        <v>0</v>
      </c>
      <c r="AN12" s="194">
        <v>0</v>
      </c>
      <c r="AO12" s="264">
        <v>0</v>
      </c>
      <c r="AP12" s="160">
        <v>0</v>
      </c>
      <c r="AQ12" s="160">
        <v>0</v>
      </c>
      <c r="AR12" s="159">
        <v>0</v>
      </c>
      <c r="AS12" s="350" t="s">
        <v>866</v>
      </c>
      <c r="AT12" s="208"/>
      <c r="AU12" s="207"/>
      <c r="AV12" s="208"/>
      <c r="AW12" s="207"/>
      <c r="AX12" s="208"/>
      <c r="AY12" s="128">
        <f t="shared" si="1"/>
        <v>1</v>
      </c>
      <c r="AZ12" s="129">
        <f t="shared" si="1"/>
        <v>0</v>
      </c>
      <c r="BA12" s="129">
        <f t="shared" si="1"/>
        <v>0</v>
      </c>
      <c r="BB12" s="129">
        <f t="shared" si="1"/>
        <v>1</v>
      </c>
      <c r="BC12" s="127">
        <f>IF(ISNUMBER(X12),X12," - ")</f>
        <v>0</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959</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557</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5095</v>
      </c>
      <c r="J14" s="189">
        <f t="shared" si="7"/>
        <v>3074</v>
      </c>
      <c r="K14" s="189">
        <f t="shared" si="7"/>
        <v>1983</v>
      </c>
      <c r="L14" s="189">
        <f t="shared" si="7"/>
        <v>6186</v>
      </c>
      <c r="M14" s="189">
        <f t="shared" si="7"/>
        <v>297</v>
      </c>
      <c r="N14" s="189">
        <f t="shared" si="7"/>
        <v>1310</v>
      </c>
      <c r="O14" s="189">
        <f t="shared" si="7"/>
        <v>677</v>
      </c>
      <c r="P14" s="189">
        <f t="shared" si="7"/>
        <v>369</v>
      </c>
      <c r="Q14" s="189">
        <f t="shared" si="7"/>
        <v>343</v>
      </c>
      <c r="R14" s="189">
        <f t="shared" si="7"/>
        <v>7508</v>
      </c>
      <c r="S14" s="189">
        <f t="shared" si="7"/>
        <v>4252</v>
      </c>
      <c r="T14" s="189">
        <f t="shared" si="7"/>
        <v>2559</v>
      </c>
      <c r="U14" s="189">
        <f t="shared" si="7"/>
        <v>2376</v>
      </c>
      <c r="V14" s="189">
        <f t="shared" si="7"/>
        <v>4440</v>
      </c>
      <c r="W14" s="189">
        <f t="shared" si="7"/>
        <v>411</v>
      </c>
      <c r="X14" s="189">
        <f t="shared" si="7"/>
        <v>1461</v>
      </c>
      <c r="Y14" s="189">
        <f t="shared" si="7"/>
        <v>179</v>
      </c>
      <c r="Z14" s="189">
        <f t="shared" si="7"/>
        <v>123</v>
      </c>
      <c r="AA14" s="189">
        <f t="shared" si="7"/>
        <v>128</v>
      </c>
      <c r="AB14" s="189">
        <f t="shared" si="7"/>
        <v>174</v>
      </c>
      <c r="AC14" s="189">
        <f t="shared" si="7"/>
        <v>0</v>
      </c>
      <c r="AD14" s="189">
        <f t="shared" si="7"/>
        <v>0</v>
      </c>
      <c r="AE14" s="189">
        <f t="shared" si="7"/>
        <v>0</v>
      </c>
      <c r="AF14" s="189">
        <f>SUBTOTAL(9,AF9:AF13)</f>
        <v>0</v>
      </c>
      <c r="AG14" s="189">
        <f t="shared" ref="AG14:AT14" si="8">SUBTOTAL(9,AG8:AG13)</f>
        <v>134</v>
      </c>
      <c r="AH14" s="189">
        <f t="shared" si="8"/>
        <v>163</v>
      </c>
      <c r="AI14" s="189">
        <f t="shared" si="8"/>
        <v>128</v>
      </c>
      <c r="AJ14" s="189">
        <f t="shared" si="8"/>
        <v>164</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4386</v>
      </c>
      <c r="AZ14" s="189">
        <f>SUBTOTAL(9,AZ8:AZ13)</f>
        <v>2722</v>
      </c>
      <c r="BA14" s="189">
        <f>SUBTOTAL(9,BA8:BA13)</f>
        <v>2504</v>
      </c>
      <c r="BB14" s="189">
        <f>SUBTOTAL(9,BB8:BB13)</f>
        <v>4604</v>
      </c>
      <c r="BC14" s="189">
        <f>SUBTOTAL(9,BC8:BC13)</f>
        <v>1456</v>
      </c>
      <c r="BD14" s="210">
        <f>IF(ISNUMBER(BA14/AZ14),BA14/AZ14," - ")</f>
        <v>0.91991182953710504</v>
      </c>
      <c r="BE14" s="211">
        <f>IF(ISNUMBER(BB14/BA14),BB14/BA14, " - ")</f>
        <v>1.8386581469648562</v>
      </c>
      <c r="BF14" s="211">
        <f>IF(ISNUMBER(BC14/BA14),BC14/BA14, " - ")</f>
        <v>0.58146964856230032</v>
      </c>
      <c r="BG14" s="212">
        <f>IF(ISNUMBER((AY14+AZ14)/BA14),(AY14+AZ14)/BA14," - ")</f>
        <v>2.8386581469648564</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1531</v>
      </c>
      <c r="J16" s="188">
        <v>3539</v>
      </c>
      <c r="K16" s="188">
        <v>3420</v>
      </c>
      <c r="L16" s="188">
        <v>1691</v>
      </c>
      <c r="M16" s="188">
        <v>387</v>
      </c>
      <c r="N16" s="188">
        <v>2442</v>
      </c>
      <c r="O16" s="186">
        <v>8</v>
      </c>
      <c r="P16" s="188">
        <v>57</v>
      </c>
      <c r="Q16" s="188">
        <v>73</v>
      </c>
      <c r="R16" s="188">
        <v>385</v>
      </c>
      <c r="S16" s="188">
        <v>1465</v>
      </c>
      <c r="T16" s="188">
        <v>3504</v>
      </c>
      <c r="U16" s="188">
        <v>3473</v>
      </c>
      <c r="V16" s="188">
        <v>1543</v>
      </c>
      <c r="W16" s="188">
        <v>392</v>
      </c>
      <c r="X16" s="194">
        <v>2298</v>
      </c>
      <c r="Y16" s="207">
        <v>0</v>
      </c>
      <c r="Z16" s="188">
        <v>0</v>
      </c>
      <c r="AA16" s="188">
        <v>0</v>
      </c>
      <c r="AB16" s="188">
        <v>0</v>
      </c>
      <c r="AC16" s="188">
        <v>0</v>
      </c>
      <c r="AD16" s="188">
        <v>119</v>
      </c>
      <c r="AE16" s="188">
        <v>119</v>
      </c>
      <c r="AF16" s="194">
        <v>0</v>
      </c>
      <c r="AG16" s="207">
        <v>0</v>
      </c>
      <c r="AH16" s="188">
        <v>0</v>
      </c>
      <c r="AI16" s="188">
        <v>0</v>
      </c>
      <c r="AJ16" s="208">
        <v>0</v>
      </c>
      <c r="AK16" s="187">
        <v>0</v>
      </c>
      <c r="AL16" s="188">
        <v>159</v>
      </c>
      <c r="AM16" s="188">
        <v>159</v>
      </c>
      <c r="AN16" s="194">
        <v>0</v>
      </c>
      <c r="AO16" s="264">
        <v>4</v>
      </c>
      <c r="AP16" s="160">
        <v>4</v>
      </c>
      <c r="AQ16" s="160">
        <v>4</v>
      </c>
      <c r="AR16" s="160">
        <v>4</v>
      </c>
      <c r="AS16" s="350" t="s">
        <v>580</v>
      </c>
      <c r="AT16" s="208" t="s">
        <v>360</v>
      </c>
      <c r="AU16" s="207"/>
      <c r="AV16" s="208"/>
      <c r="AW16" s="207"/>
      <c r="AX16" s="208"/>
      <c r="AY16" s="130">
        <f t="shared" ref="AY16:BB17" si="10">IF(ISNUMBER(IF(D_I="SI",S16,S16+AK16)),IF(D_I="SI",S16,S16+AK16)," - ")</f>
        <v>1465</v>
      </c>
      <c r="AZ16" s="131">
        <f t="shared" si="10"/>
        <v>3504</v>
      </c>
      <c r="BA16" s="131">
        <f t="shared" si="10"/>
        <v>3473</v>
      </c>
      <c r="BB16" s="131">
        <f t="shared" si="10"/>
        <v>1543</v>
      </c>
      <c r="BC16" s="127">
        <f>IF(ISNUMBER(W16),W16," - ")</f>
        <v>392</v>
      </c>
      <c r="BD16" s="128">
        <f>IF(ISNUMBER(BA16/AZ16),BA16/AZ16," - ")</f>
        <v>0.99115296803652964</v>
      </c>
      <c r="BE16" s="129">
        <f>IF(ISNUMBER(BB16/BA16),BB16/BA16, " - ")</f>
        <v>0.44428448027641809</v>
      </c>
      <c r="BF16" s="129">
        <f>IF(ISNUMBER(BC16/BA16),BC16/BA16, " - ")</f>
        <v>0.1128707169594011</v>
      </c>
      <c r="BG16" s="201">
        <f t="shared" ref="BG16:BG19" si="11">IF(ISNUMBER((AY16+AZ16)/BA16),(AY16+AZ16)/BA16," - ")</f>
        <v>1.4307515116613878</v>
      </c>
      <c r="BH16" s="160">
        <v>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867</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v>
      </c>
      <c r="J17" s="188">
        <v>0</v>
      </c>
      <c r="K17" s="188">
        <v>0</v>
      </c>
      <c r="L17" s="188">
        <v>1</v>
      </c>
      <c r="M17" s="188">
        <v>0</v>
      </c>
      <c r="N17" s="188">
        <v>0</v>
      </c>
      <c r="O17" s="186">
        <v>0</v>
      </c>
      <c r="P17" s="188">
        <v>0</v>
      </c>
      <c r="Q17" s="188">
        <v>0</v>
      </c>
      <c r="R17" s="188">
        <v>0</v>
      </c>
      <c r="S17" s="188">
        <v>1</v>
      </c>
      <c r="T17" s="188">
        <v>0</v>
      </c>
      <c r="U17" s="188">
        <v>0</v>
      </c>
      <c r="V17" s="188">
        <v>1</v>
      </c>
      <c r="W17" s="188">
        <v>0</v>
      </c>
      <c r="X17" s="194">
        <v>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0</v>
      </c>
      <c r="AP17" s="160">
        <v>0</v>
      </c>
      <c r="AQ17" s="160">
        <v>0</v>
      </c>
      <c r="AR17" s="160">
        <v>0</v>
      </c>
      <c r="AS17" s="350" t="s">
        <v>539</v>
      </c>
      <c r="AT17" s="208"/>
      <c r="AU17" s="207"/>
      <c r="AV17" s="208"/>
      <c r="AW17" s="207"/>
      <c r="AX17" s="208"/>
      <c r="AY17" s="128">
        <f t="shared" si="10"/>
        <v>1</v>
      </c>
      <c r="AZ17" s="129">
        <f t="shared" si="10"/>
        <v>0</v>
      </c>
      <c r="BA17" s="129">
        <f t="shared" si="10"/>
        <v>0</v>
      </c>
      <c r="BB17" s="129">
        <f t="shared" si="10"/>
        <v>1</v>
      </c>
      <c r="BC17" s="127">
        <f>IF(ISNUMBER(W17),W17," - ")</f>
        <v>0</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837</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108</v>
      </c>
      <c r="J18" s="188">
        <v>142</v>
      </c>
      <c r="K18" s="188">
        <v>154</v>
      </c>
      <c r="L18" s="188">
        <v>100</v>
      </c>
      <c r="M18" s="188">
        <v>41</v>
      </c>
      <c r="N18" s="188">
        <v>84</v>
      </c>
      <c r="O18" s="188">
        <v>0</v>
      </c>
      <c r="P18" s="188">
        <v>0</v>
      </c>
      <c r="Q18" s="188">
        <v>3</v>
      </c>
      <c r="R18" s="188">
        <v>33</v>
      </c>
      <c r="S18" s="188">
        <v>143</v>
      </c>
      <c r="T18" s="188">
        <v>129</v>
      </c>
      <c r="U18" s="188">
        <v>137</v>
      </c>
      <c r="V18" s="188">
        <v>104</v>
      </c>
      <c r="W18" s="188">
        <v>46</v>
      </c>
      <c r="X18" s="194">
        <v>49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856</v>
      </c>
      <c r="AT18" s="214"/>
      <c r="AU18" s="205"/>
      <c r="AV18" s="214"/>
      <c r="AW18" s="205"/>
      <c r="AX18" s="214"/>
      <c r="AY18" s="130">
        <f t="shared" ref="AY18:BB19" si="15">IF(ISNUMBER(S18),S18," - ")</f>
        <v>143</v>
      </c>
      <c r="AZ18" s="131">
        <f t="shared" si="15"/>
        <v>129</v>
      </c>
      <c r="BA18" s="131">
        <f t="shared" si="15"/>
        <v>137</v>
      </c>
      <c r="BB18" s="131">
        <f t="shared" si="15"/>
        <v>104</v>
      </c>
      <c r="BC18" s="127">
        <f>IF(ISNUMBER(W18),W18," - ")</f>
        <v>46</v>
      </c>
      <c r="BD18" s="128">
        <f>IF(ISNUMBER(BA18/AZ18),BA18/AZ18," - ")</f>
        <v>1.0620155038759691</v>
      </c>
      <c r="BE18" s="129">
        <f>IF(ISNUMBER(BB18/BA18),BB18/BA18, " - ")</f>
        <v>0.75912408759124084</v>
      </c>
      <c r="BF18" s="129">
        <f>IF(ISNUMBER(BC18/BA18),BC18/BA18, " - ")</f>
        <v>0.33576642335766421</v>
      </c>
      <c r="BG18" s="201">
        <f>IF(ISNUMBER((AY18+AZ18)/BA18),(AY18+AZ18)/BA18," - ")</f>
        <v>1.9854014598540146</v>
      </c>
      <c r="BH18" s="160">
        <v>1</v>
      </c>
      <c r="BI18" s="160"/>
      <c r="BJ18" s="205"/>
      <c r="BK18" s="159"/>
      <c r="BL18" s="159"/>
      <c r="BM18" s="159">
        <v>1800</v>
      </c>
      <c r="BN18" s="159"/>
      <c r="BO18" s="159"/>
      <c r="BP18" s="159"/>
      <c r="BQ18" s="159"/>
      <c r="BR18" s="159"/>
      <c r="BS18" s="159"/>
      <c r="BT18" s="159"/>
      <c r="BU18" s="159"/>
      <c r="BV18" s="159"/>
      <c r="BW18" s="159"/>
      <c r="BX18" s="159"/>
      <c r="BY18" s="179" t="s">
        <v>788</v>
      </c>
      <c r="BZ18" s="179" t="s">
        <v>789</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838</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819</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1640</v>
      </c>
      <c r="J20" s="189">
        <f t="shared" si="16"/>
        <v>3681</v>
      </c>
      <c r="K20" s="189">
        <f t="shared" si="16"/>
        <v>3574</v>
      </c>
      <c r="L20" s="189">
        <f t="shared" si="16"/>
        <v>1792</v>
      </c>
      <c r="M20" s="189">
        <f t="shared" si="16"/>
        <v>428</v>
      </c>
      <c r="N20" s="189">
        <f t="shared" si="16"/>
        <v>2526</v>
      </c>
      <c r="O20" s="189">
        <f t="shared" si="16"/>
        <v>8</v>
      </c>
      <c r="P20" s="189">
        <f t="shared" si="16"/>
        <v>57</v>
      </c>
      <c r="Q20" s="189">
        <f t="shared" si="16"/>
        <v>76</v>
      </c>
      <c r="R20" s="189">
        <f t="shared" si="16"/>
        <v>418</v>
      </c>
      <c r="S20" s="189">
        <f t="shared" si="16"/>
        <v>1609</v>
      </c>
      <c r="T20" s="189">
        <f t="shared" si="16"/>
        <v>3633</v>
      </c>
      <c r="U20" s="189">
        <f t="shared" si="16"/>
        <v>3610</v>
      </c>
      <c r="V20" s="189">
        <f t="shared" si="16"/>
        <v>1648</v>
      </c>
      <c r="W20" s="189">
        <f t="shared" si="16"/>
        <v>438</v>
      </c>
      <c r="X20" s="189">
        <f t="shared" si="16"/>
        <v>2347</v>
      </c>
      <c r="Y20" s="189">
        <f t="shared" si="16"/>
        <v>0</v>
      </c>
      <c r="Z20" s="189">
        <f t="shared" si="16"/>
        <v>0</v>
      </c>
      <c r="AA20" s="189">
        <f t="shared" si="16"/>
        <v>0</v>
      </c>
      <c r="AB20" s="189">
        <f t="shared" si="16"/>
        <v>0</v>
      </c>
      <c r="AC20" s="189">
        <f t="shared" si="16"/>
        <v>0</v>
      </c>
      <c r="AD20" s="189">
        <f t="shared" si="16"/>
        <v>119</v>
      </c>
      <c r="AE20" s="189">
        <f t="shared" si="16"/>
        <v>119</v>
      </c>
      <c r="AF20" s="189">
        <f t="shared" si="16"/>
        <v>0</v>
      </c>
      <c r="AG20" s="189">
        <f t="shared" si="16"/>
        <v>0</v>
      </c>
      <c r="AH20" s="189">
        <f t="shared" si="16"/>
        <v>0</v>
      </c>
      <c r="AI20" s="189">
        <f t="shared" si="16"/>
        <v>0</v>
      </c>
      <c r="AJ20" s="189">
        <f t="shared" si="16"/>
        <v>0</v>
      </c>
      <c r="AK20" s="189">
        <f t="shared" si="16"/>
        <v>0</v>
      </c>
      <c r="AL20" s="189">
        <f t="shared" si="16"/>
        <v>159</v>
      </c>
      <c r="AM20" s="189">
        <f t="shared" si="16"/>
        <v>159</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1609</v>
      </c>
      <c r="AZ20" s="189">
        <f>SUBTOTAL(9,AZ15:AZ19)</f>
        <v>3633</v>
      </c>
      <c r="BA20" s="189">
        <f>SUBTOTAL(9,BA15:BA19)</f>
        <v>3610</v>
      </c>
      <c r="BB20" s="189">
        <f>SUBTOTAL(9,BB15:BB19)</f>
        <v>1648</v>
      </c>
      <c r="BC20" s="189">
        <f>SUBTOTAL(9,BC15:BC19)</f>
        <v>438</v>
      </c>
      <c r="BD20" s="210">
        <f>IF(ISNUMBER(BA20/AZ20),BA20/AZ20," - ")</f>
        <v>0.99366914395816131</v>
      </c>
      <c r="BE20" s="211">
        <f>IF(ISNUMBER(BB20/BA20),BB20/BA20, " - ")</f>
        <v>0.45650969529085872</v>
      </c>
      <c r="BF20" s="211">
        <f>IF(ISNUMBER(BC20/BA20),BC20/BA20, " - ")</f>
        <v>0.12132963988919668</v>
      </c>
      <c r="BG20" s="212">
        <f>IF(ISNUMBER((AY20+AZ20)/BA20),(AY20+AZ20)/BA20," - ")</f>
        <v>1.4520775623268698</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6735</v>
      </c>
      <c r="J21" s="136">
        <f t="shared" si="19"/>
        <v>6755</v>
      </c>
      <c r="K21" s="136">
        <f t="shared" si="19"/>
        <v>5557</v>
      </c>
      <c r="L21" s="136">
        <f t="shared" si="19"/>
        <v>7978</v>
      </c>
      <c r="M21" s="136">
        <f t="shared" si="19"/>
        <v>725</v>
      </c>
      <c r="N21" s="136">
        <f t="shared" si="19"/>
        <v>3836</v>
      </c>
      <c r="O21" s="136">
        <f t="shared" si="19"/>
        <v>685</v>
      </c>
      <c r="P21" s="136">
        <f t="shared" si="19"/>
        <v>426</v>
      </c>
      <c r="Q21" s="136">
        <f t="shared" si="19"/>
        <v>419</v>
      </c>
      <c r="R21" s="136">
        <f t="shared" si="19"/>
        <v>7926</v>
      </c>
      <c r="S21" s="136">
        <f t="shared" si="19"/>
        <v>5861</v>
      </c>
      <c r="T21" s="136">
        <f t="shared" si="19"/>
        <v>6192</v>
      </c>
      <c r="U21" s="136">
        <f t="shared" si="19"/>
        <v>5986</v>
      </c>
      <c r="V21" s="136">
        <f t="shared" si="19"/>
        <v>6088</v>
      </c>
      <c r="W21" s="136">
        <f t="shared" si="19"/>
        <v>849</v>
      </c>
      <c r="X21" s="136">
        <f t="shared" si="19"/>
        <v>3808</v>
      </c>
      <c r="Y21" s="136">
        <f t="shared" si="19"/>
        <v>179</v>
      </c>
      <c r="Z21" s="136">
        <f t="shared" si="19"/>
        <v>123</v>
      </c>
      <c r="AA21" s="136">
        <f t="shared" si="19"/>
        <v>128</v>
      </c>
      <c r="AB21" s="136">
        <f t="shared" si="19"/>
        <v>174</v>
      </c>
      <c r="AC21" s="136">
        <f t="shared" si="19"/>
        <v>0</v>
      </c>
      <c r="AD21" s="136">
        <f t="shared" si="19"/>
        <v>119</v>
      </c>
      <c r="AE21" s="136">
        <f t="shared" si="19"/>
        <v>119</v>
      </c>
      <c r="AF21" s="136">
        <f t="shared" si="19"/>
        <v>0</v>
      </c>
      <c r="AG21" s="136">
        <f t="shared" si="19"/>
        <v>134</v>
      </c>
      <c r="AH21" s="136">
        <f t="shared" si="19"/>
        <v>163</v>
      </c>
      <c r="AI21" s="136">
        <f t="shared" si="19"/>
        <v>128</v>
      </c>
      <c r="AJ21" s="136">
        <f t="shared" si="19"/>
        <v>164</v>
      </c>
      <c r="AK21" s="136">
        <f t="shared" si="19"/>
        <v>0</v>
      </c>
      <c r="AL21" s="136">
        <f t="shared" si="19"/>
        <v>159</v>
      </c>
      <c r="AM21" s="136">
        <f t="shared" si="19"/>
        <v>159</v>
      </c>
      <c r="AN21" s="215">
        <f t="shared" si="19"/>
        <v>0</v>
      </c>
      <c r="AO21" s="216">
        <v>10</v>
      </c>
      <c r="AP21" s="216">
        <v>9</v>
      </c>
      <c r="AQ21" s="216">
        <v>9</v>
      </c>
      <c r="AR21" s="216">
        <v>9</v>
      </c>
      <c r="AS21" s="158">
        <f t="shared" si="19"/>
        <v>0</v>
      </c>
      <c r="AT21" s="158">
        <f t="shared" si="19"/>
        <v>0</v>
      </c>
      <c r="AU21" s="216"/>
      <c r="AV21" s="217"/>
      <c r="AW21" s="216"/>
      <c r="AX21" s="217"/>
      <c r="AY21" s="135">
        <f>SUBTOTAL(9,AY9:AY20)</f>
        <v>5995</v>
      </c>
      <c r="AZ21" s="136">
        <f>SUBTOTAL(9,AZ9:AZ20)</f>
        <v>6355</v>
      </c>
      <c r="BA21" s="136">
        <f>SUBTOTAL(9,BA9:BA20)</f>
        <v>6114</v>
      </c>
      <c r="BB21" s="136">
        <f>SUBTOTAL(9,BB9:BB20)</f>
        <v>6252</v>
      </c>
      <c r="BC21" s="137">
        <f>SUBTOTAL(9,BC9:BC20)</f>
        <v>1894</v>
      </c>
      <c r="BD21" s="218">
        <f>IF(ISNUMBER(BA21/AZ21),BA21/AZ21," - ")</f>
        <v>0.96207710464201412</v>
      </c>
      <c r="BE21" s="215">
        <f>IF(ISNUMBER(BB21/BA21),BB21/BA21, " - ")</f>
        <v>1.0225711481844946</v>
      </c>
      <c r="BF21" s="215">
        <f>IF(ISNUMBER(BC21/BA21),BC21/BA21, " - ")</f>
        <v>0.30978083087994768</v>
      </c>
      <c r="BG21" s="137">
        <f>IF(ISNUMBER((AY21+AZ21)/BA21),(AY21+AZ21)/BA21," - ")</f>
        <v>2.0199542034674516</v>
      </c>
      <c r="BH21" s="216">
        <f>SUBTOTAL(9,BH9:BH20)</f>
        <v>11</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d1BmCEuuW39sKBCk7p/fgt+psB7iEiqhe/ICcVDkdL0TVK698deeQ8d2d1lDp21tbVw/YfQZR9QnEcUY5lMw==" saltValue="zCjBNSuJ3xE9apnsqnnTX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534</v>
      </c>
      <c r="DM5" s="1626" t="s">
        <v>583</v>
      </c>
      <c r="DN5" s="1626" t="s">
        <v>584</v>
      </c>
      <c r="DO5" s="1626" t="s">
        <v>585</v>
      </c>
      <c r="DP5" s="1626" t="s">
        <v>586</v>
      </c>
      <c r="DQ5" s="1626" t="s">
        <v>587</v>
      </c>
      <c r="DR5" s="1626" t="s">
        <v>588</v>
      </c>
      <c r="DS5" s="1626" t="s">
        <v>589</v>
      </c>
      <c r="DT5" s="1626" t="s">
        <v>590</v>
      </c>
      <c r="DU5" s="1639" t="s">
        <v>591</v>
      </c>
      <c r="DV5" s="1639" t="s">
        <v>592</v>
      </c>
      <c r="DW5" s="1636" t="s">
        <v>593</v>
      </c>
      <c r="DX5" s="1626" t="s">
        <v>594</v>
      </c>
      <c r="DY5" s="1633" t="s">
        <v>595</v>
      </c>
      <c r="DZ5" s="1636" t="s">
        <v>596</v>
      </c>
      <c r="EA5" s="1633" t="s">
        <v>597</v>
      </c>
      <c r="EB5" s="1630" t="s">
        <v>641</v>
      </c>
      <c r="EC5" s="1630" t="s">
        <v>674</v>
      </c>
      <c r="ED5" s="1630" t="s">
        <v>643</v>
      </c>
      <c r="EE5" s="1630" t="s">
        <v>678</v>
      </c>
      <c r="EF5" s="1630" t="s">
        <v>679</v>
      </c>
      <c r="EG5" s="1633" t="s">
        <v>680</v>
      </c>
      <c r="EH5" s="1633" t="s">
        <v>681</v>
      </c>
      <c r="EI5" s="1633" t="s">
        <v>645</v>
      </c>
      <c r="EJ5" s="1633" t="s">
        <v>646</v>
      </c>
      <c r="EK5" s="1657" t="s">
        <v>729</v>
      </c>
      <c r="EL5" s="1648" t="s">
        <v>745</v>
      </c>
      <c r="EM5" s="1649"/>
      <c r="EN5" s="1650"/>
      <c r="EO5" s="1546" t="s">
        <v>804</v>
      </c>
      <c r="EP5" s="1546" t="s">
        <v>806</v>
      </c>
      <c r="EQ5" s="1546" t="s">
        <v>807</v>
      </c>
      <c r="ER5" s="1546" t="s">
        <v>812</v>
      </c>
      <c r="ES5" s="1546" t="s">
        <v>817</v>
      </c>
      <c r="ET5" s="1642" t="s">
        <v>888</v>
      </c>
      <c r="EU5" s="1642" t="s">
        <v>889</v>
      </c>
      <c r="EV5" s="1549" t="s">
        <v>906</v>
      </c>
      <c r="EW5" s="1633" t="s">
        <v>909</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803</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746</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88"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488" t="s">
        <v>747</v>
      </c>
      <c r="EM8" s="488" t="s">
        <v>748</v>
      </c>
      <c r="EN8" s="488" t="s">
        <v>749</v>
      </c>
      <c r="EO8" s="52" t="s">
        <v>805</v>
      </c>
      <c r="EP8" s="52" t="s">
        <v>810</v>
      </c>
      <c r="EQ8" s="52" t="s">
        <v>811</v>
      </c>
      <c r="ER8" s="488">
        <v>148</v>
      </c>
      <c r="ES8" s="488" t="s">
        <v>818</v>
      </c>
      <c r="ET8" s="1306" t="s">
        <v>890</v>
      </c>
      <c r="EU8" s="1306" t="s">
        <v>891</v>
      </c>
      <c r="EV8" s="1306" t="s">
        <v>899</v>
      </c>
      <c r="EW8" s="488" t="s">
        <v>908</v>
      </c>
      <c r="EX8" s="488" t="s">
        <v>932</v>
      </c>
      <c r="EY8" s="488" t="s">
        <v>945</v>
      </c>
    </row>
    <row r="9" spans="1:155" s="694" customFormat="1" ht="14.25" customHeight="1">
      <c r="A9" s="722" t="s">
        <v>48</v>
      </c>
      <c r="B9" s="676" t="s">
        <v>443</v>
      </c>
      <c r="C9" s="677" t="s">
        <v>3</v>
      </c>
      <c r="D9" s="678" t="s">
        <v>20</v>
      </c>
      <c r="E9" s="676" t="s">
        <v>21</v>
      </c>
      <c r="F9" s="676">
        <v>32</v>
      </c>
      <c r="G9" s="679"/>
      <c r="H9" s="723" t="s">
        <v>272</v>
      </c>
      <c r="I9" s="724" t="s">
        <v>936</v>
      </c>
      <c r="J9" s="681" t="s">
        <v>938</v>
      </c>
      <c r="K9" s="681" t="s">
        <v>940</v>
      </c>
      <c r="L9" s="681" t="s">
        <v>942</v>
      </c>
      <c r="M9" s="681" t="s">
        <v>944</v>
      </c>
      <c r="N9" s="681" t="s">
        <v>948</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954</v>
      </c>
      <c r="AT9" s="731"/>
      <c r="AU9" s="730" t="s">
        <v>875</v>
      </c>
      <c r="AV9" s="731"/>
      <c r="AW9" s="730" t="s">
        <v>878</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549</v>
      </c>
      <c r="BW9" s="487" t="s">
        <v>333</v>
      </c>
      <c r="BX9" s="487" t="s">
        <v>334</v>
      </c>
      <c r="BY9" s="487" t="s">
        <v>961</v>
      </c>
      <c r="BZ9" s="487" t="s">
        <v>536</v>
      </c>
      <c r="CA9" s="487" t="s">
        <v>454</v>
      </c>
      <c r="CB9" s="487" t="s">
        <v>455</v>
      </c>
      <c r="CC9" s="487" t="s">
        <v>456</v>
      </c>
      <c r="CD9" s="487" t="s">
        <v>457</v>
      </c>
      <c r="CE9" s="487"/>
      <c r="CF9" s="487"/>
      <c r="CG9" s="487"/>
      <c r="CH9" s="487"/>
      <c r="CI9" s="487" t="s">
        <v>558</v>
      </c>
      <c r="CJ9" s="487" t="s">
        <v>458</v>
      </c>
      <c r="CK9" s="487" t="s">
        <v>543</v>
      </c>
      <c r="CL9" s="487" t="s">
        <v>545</v>
      </c>
      <c r="CM9" s="487" t="s">
        <v>547</v>
      </c>
      <c r="CN9" s="487">
        <v>1088</v>
      </c>
      <c r="CO9" s="487">
        <v>720</v>
      </c>
      <c r="CP9" s="487">
        <v>1088</v>
      </c>
      <c r="CQ9" s="735" t="s">
        <v>922</v>
      </c>
      <c r="CR9" s="735" t="s">
        <v>537</v>
      </c>
      <c r="CS9" s="487"/>
      <c r="CT9" s="487"/>
      <c r="CU9" s="487"/>
      <c r="CV9" s="487" t="s">
        <v>554</v>
      </c>
      <c r="CW9" s="487" t="s">
        <v>453</v>
      </c>
      <c r="CX9" s="487" t="s">
        <v>382</v>
      </c>
      <c r="CY9" s="487" t="s">
        <v>487</v>
      </c>
      <c r="CZ9" s="487" t="s">
        <v>488</v>
      </c>
      <c r="DA9" s="487" t="s">
        <v>489</v>
      </c>
      <c r="DB9" s="730" t="s">
        <v>955</v>
      </c>
      <c r="DC9" s="730" t="s">
        <v>956</v>
      </c>
      <c r="DD9" s="487"/>
      <c r="DE9" s="487" t="s">
        <v>266</v>
      </c>
      <c r="DF9" s="487"/>
      <c r="DG9" s="487" t="s">
        <v>496</v>
      </c>
      <c r="DH9" s="487" t="s">
        <v>551</v>
      </c>
      <c r="DI9" s="487" t="s">
        <v>552</v>
      </c>
      <c r="DJ9" s="487" t="s">
        <v>553</v>
      </c>
      <c r="DK9" s="487"/>
      <c r="DL9" s="487"/>
      <c r="DM9" s="487"/>
      <c r="DN9" s="487"/>
      <c r="DO9" s="487"/>
      <c r="DP9" s="487"/>
      <c r="DQ9" s="487"/>
      <c r="DR9" s="487"/>
      <c r="DS9" s="487"/>
      <c r="DT9" s="487"/>
      <c r="DU9" s="487" t="s">
        <v>736</v>
      </c>
      <c r="DV9" s="487" t="s">
        <v>731</v>
      </c>
      <c r="DW9" s="487" t="s">
        <v>732</v>
      </c>
      <c r="DX9" s="487" t="s">
        <v>733</v>
      </c>
      <c r="DY9" s="487" t="s">
        <v>734</v>
      </c>
      <c r="DZ9" s="487"/>
      <c r="EA9" s="487"/>
      <c r="EB9" s="487"/>
      <c r="EC9" s="487"/>
      <c r="ED9" s="487"/>
      <c r="EE9" s="487"/>
      <c r="EF9" s="487"/>
      <c r="EG9" s="487"/>
      <c r="EH9" s="487"/>
      <c r="EI9" s="487"/>
      <c r="EJ9" s="487"/>
      <c r="EK9" s="487"/>
      <c r="EL9" s="735" t="s">
        <v>860</v>
      </c>
      <c r="EM9" s="735" t="s">
        <v>861</v>
      </c>
      <c r="EN9" s="487" t="s">
        <v>859</v>
      </c>
      <c r="EO9" s="1137" t="s">
        <v>957</v>
      </c>
      <c r="EP9" s="1137" t="s">
        <v>928</v>
      </c>
      <c r="EQ9" s="1137" t="s">
        <v>929</v>
      </c>
      <c r="ER9" s="1150">
        <v>1200</v>
      </c>
      <c r="ES9" s="1146"/>
      <c r="ET9" s="1307"/>
      <c r="EU9" s="1307"/>
      <c r="EV9" s="487" t="s">
        <v>902</v>
      </c>
      <c r="EW9" s="487"/>
      <c r="EX9" s="487"/>
      <c r="EY9" s="487"/>
    </row>
    <row r="10" spans="1:155" ht="14.25" customHeight="1">
      <c r="A10" s="139" t="s">
        <v>156</v>
      </c>
      <c r="B10" s="21" t="s">
        <v>443</v>
      </c>
      <c r="C10" s="22" t="s">
        <v>3</v>
      </c>
      <c r="D10" s="23" t="s">
        <v>85</v>
      </c>
      <c r="E10" s="21" t="s">
        <v>85</v>
      </c>
      <c r="F10" s="21" t="s">
        <v>151</v>
      </c>
      <c r="G10" s="6"/>
      <c r="H10" s="138"/>
      <c r="I10" s="185" t="s">
        <v>573</v>
      </c>
      <c r="J10" s="186" t="s">
        <v>571</v>
      </c>
      <c r="K10" s="186" t="s">
        <v>572</v>
      </c>
      <c r="L10" s="186" t="s">
        <v>577</v>
      </c>
      <c r="M10" s="59" t="s">
        <v>565</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822</v>
      </c>
      <c r="AT10" s="65"/>
      <c r="AU10" s="153" t="s">
        <v>823</v>
      </c>
      <c r="AV10" s="65"/>
      <c r="AW10" s="153" t="s">
        <v>824</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825</v>
      </c>
      <c r="BZ10" s="159"/>
      <c r="CA10" s="159"/>
      <c r="CB10" s="159"/>
      <c r="CC10" s="159"/>
      <c r="CD10" s="159"/>
      <c r="CE10" s="159"/>
      <c r="CF10" s="159"/>
      <c r="CG10" s="159"/>
      <c r="CH10" s="159"/>
      <c r="CI10" s="159" t="s">
        <v>560</v>
      </c>
      <c r="CJ10" s="159" t="s">
        <v>330</v>
      </c>
      <c r="CK10" s="159" t="s">
        <v>511</v>
      </c>
      <c r="CL10" s="159" t="s">
        <v>512</v>
      </c>
      <c r="CM10" s="159" t="s">
        <v>513</v>
      </c>
      <c r="CN10" s="159">
        <v>1175</v>
      </c>
      <c r="CO10" s="159">
        <v>0</v>
      </c>
      <c r="CP10" s="294" t="s">
        <v>460</v>
      </c>
      <c r="CQ10" s="159" t="s">
        <v>826</v>
      </c>
      <c r="CR10" s="159"/>
      <c r="CS10" s="159"/>
      <c r="CT10" s="161"/>
      <c r="CU10" s="161"/>
      <c r="CV10" s="161" t="s">
        <v>347</v>
      </c>
      <c r="CW10" s="161" t="s">
        <v>377</v>
      </c>
      <c r="CX10" s="161" t="s">
        <v>380</v>
      </c>
      <c r="CY10" s="161" t="s">
        <v>561</v>
      </c>
      <c r="CZ10" s="161" t="s">
        <v>562</v>
      </c>
      <c r="DA10" s="161" t="s">
        <v>563</v>
      </c>
      <c r="DB10" s="327" t="s">
        <v>574</v>
      </c>
      <c r="DC10" s="326"/>
      <c r="DD10" s="161"/>
      <c r="DE10" s="161" t="s">
        <v>267</v>
      </c>
      <c r="DF10" s="161"/>
      <c r="DG10" s="161" t="s">
        <v>564</v>
      </c>
      <c r="DH10" s="159" t="s">
        <v>474</v>
      </c>
      <c r="DI10" s="159" t="s">
        <v>472</v>
      </c>
      <c r="DJ10" s="159" t="s">
        <v>473</v>
      </c>
      <c r="DK10" s="159"/>
      <c r="DL10" s="159"/>
      <c r="DM10" s="294"/>
      <c r="DN10" s="294"/>
      <c r="DO10" s="294"/>
      <c r="DP10" s="294"/>
      <c r="DQ10" s="294"/>
      <c r="DR10" s="294"/>
      <c r="DS10" s="294"/>
      <c r="DT10" s="294"/>
      <c r="DU10" s="160" t="s">
        <v>663</v>
      </c>
      <c r="DV10" s="294" t="s">
        <v>783</v>
      </c>
      <c r="DW10" s="294" t="s">
        <v>780</v>
      </c>
      <c r="DX10" s="294" t="s">
        <v>781</v>
      </c>
      <c r="DY10" s="294" t="s">
        <v>782</v>
      </c>
      <c r="DZ10" s="294"/>
      <c r="EA10" s="294"/>
      <c r="EB10" s="294"/>
      <c r="EC10" s="294"/>
      <c r="ED10" s="294"/>
      <c r="EE10" s="294"/>
      <c r="EF10" s="294"/>
      <c r="EG10" s="294"/>
      <c r="EH10" s="294"/>
      <c r="EI10" s="294"/>
      <c r="EJ10" s="294"/>
      <c r="EK10" s="294"/>
      <c r="EL10" s="294"/>
      <c r="EM10" s="294"/>
      <c r="EN10" s="294"/>
      <c r="EO10" s="327" t="s">
        <v>831</v>
      </c>
      <c r="EP10" s="327" t="s">
        <v>832</v>
      </c>
      <c r="EQ10" s="327" t="s">
        <v>833</v>
      </c>
      <c r="ER10" s="1151">
        <v>1600</v>
      </c>
      <c r="ES10" s="349"/>
      <c r="ET10" s="1307"/>
      <c r="EU10" s="1307"/>
      <c r="EV10" s="487" t="s">
        <v>904</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871</v>
      </c>
      <c r="J11" s="322" t="s">
        <v>868</v>
      </c>
      <c r="K11" s="322" t="s">
        <v>921</v>
      </c>
      <c r="L11" s="322" t="s">
        <v>879</v>
      </c>
      <c r="M11" s="322" t="s">
        <v>541</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869</v>
      </c>
      <c r="AT11" s="684"/>
      <c r="AU11" s="683" t="s">
        <v>876</v>
      </c>
      <c r="AV11" s="684"/>
      <c r="AW11" s="683" t="s">
        <v>880</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548</v>
      </c>
      <c r="BW11" s="487" t="s">
        <v>281</v>
      </c>
      <c r="BX11" s="487" t="s">
        <v>282</v>
      </c>
      <c r="BY11" s="696" t="s">
        <v>963</v>
      </c>
      <c r="BZ11" s="487" t="s">
        <v>802</v>
      </c>
      <c r="CA11" s="487" t="s">
        <v>317</v>
      </c>
      <c r="CB11" s="487" t="s">
        <v>312</v>
      </c>
      <c r="CC11" s="487" t="s">
        <v>313</v>
      </c>
      <c r="CD11" s="487" t="s">
        <v>314</v>
      </c>
      <c r="CE11" s="696"/>
      <c r="CF11" s="696"/>
      <c r="CG11" s="696"/>
      <c r="CH11" s="696"/>
      <c r="CI11" s="696" t="s">
        <v>538</v>
      </c>
      <c r="CJ11" s="696" t="s">
        <v>325</v>
      </c>
      <c r="CK11" s="487" t="s">
        <v>542</v>
      </c>
      <c r="CL11" s="487" t="s">
        <v>544</v>
      </c>
      <c r="CM11" s="487" t="s">
        <v>546</v>
      </c>
      <c r="CN11" s="487">
        <v>1088</v>
      </c>
      <c r="CO11" s="696">
        <v>1000</v>
      </c>
      <c r="CP11" s="487">
        <v>1088</v>
      </c>
      <c r="CQ11" s="487" t="s">
        <v>925</v>
      </c>
      <c r="CR11" s="487" t="s">
        <v>924</v>
      </c>
      <c r="CS11" s="696"/>
      <c r="CT11" s="487"/>
      <c r="CU11" s="487"/>
      <c r="CV11" s="487" t="s">
        <v>554</v>
      </c>
      <c r="CW11" s="487" t="s">
        <v>373</v>
      </c>
      <c r="CX11" s="487" t="s">
        <v>382</v>
      </c>
      <c r="CY11" s="487" t="s">
        <v>487</v>
      </c>
      <c r="CZ11" s="487" t="s">
        <v>488</v>
      </c>
      <c r="DA11" s="487" t="s">
        <v>489</v>
      </c>
      <c r="DB11" s="335" t="s">
        <v>949</v>
      </c>
      <c r="DC11" s="335" t="s">
        <v>950</v>
      </c>
      <c r="DD11" s="487"/>
      <c r="DE11" s="487" t="s">
        <v>268</v>
      </c>
      <c r="DF11" s="487"/>
      <c r="DG11" s="487" t="s">
        <v>496</v>
      </c>
      <c r="DH11" s="487" t="s">
        <v>551</v>
      </c>
      <c r="DI11" s="487" t="s">
        <v>552</v>
      </c>
      <c r="DJ11" s="487" t="s">
        <v>553</v>
      </c>
      <c r="DK11" s="487"/>
      <c r="DL11" s="487"/>
      <c r="DM11" s="735"/>
      <c r="DN11" s="735"/>
      <c r="DO11" s="735"/>
      <c r="DP11" s="735"/>
      <c r="DQ11" s="735"/>
      <c r="DR11" s="735"/>
      <c r="DS11" s="735"/>
      <c r="DT11" s="735"/>
      <c r="DU11" s="735" t="s">
        <v>736</v>
      </c>
      <c r="DV11" s="735" t="s">
        <v>731</v>
      </c>
      <c r="DW11" s="735" t="s">
        <v>732</v>
      </c>
      <c r="DX11" s="735" t="s">
        <v>733</v>
      </c>
      <c r="DY11" s="735" t="s">
        <v>734</v>
      </c>
      <c r="DZ11" s="735"/>
      <c r="EA11" s="735"/>
      <c r="EB11" s="735"/>
      <c r="EC11" s="735"/>
      <c r="ED11" s="735"/>
      <c r="EE11" s="735"/>
      <c r="EF11" s="735"/>
      <c r="EG11" s="735"/>
      <c r="EH11" s="735"/>
      <c r="EI11" s="735"/>
      <c r="EJ11" s="735"/>
      <c r="EK11" s="735"/>
      <c r="EL11" s="735"/>
      <c r="EM11" s="735"/>
      <c r="EN11" s="735"/>
      <c r="EO11" s="1170" t="s">
        <v>958</v>
      </c>
      <c r="EP11" s="1170" t="s">
        <v>926</v>
      </c>
      <c r="EQ11" s="1170" t="s">
        <v>927</v>
      </c>
      <c r="ER11" s="1152">
        <v>1323</v>
      </c>
      <c r="ES11" s="1147"/>
      <c r="ET11" s="1307"/>
      <c r="EU11" s="1307"/>
      <c r="EV11" s="487" t="s">
        <v>901</v>
      </c>
      <c r="EW11" s="735"/>
      <c r="EX11" s="735"/>
      <c r="EY11" s="735"/>
    </row>
    <row r="12" spans="1:155" s="694" customFormat="1" ht="14.25" customHeight="1">
      <c r="A12" s="722" t="s">
        <v>445</v>
      </c>
      <c r="B12" s="676" t="s">
        <v>443</v>
      </c>
      <c r="C12" s="677" t="s">
        <v>3</v>
      </c>
      <c r="D12" s="678" t="s">
        <v>20</v>
      </c>
      <c r="E12" s="676" t="s">
        <v>20</v>
      </c>
      <c r="F12" s="676">
        <v>31</v>
      </c>
      <c r="G12" s="679"/>
      <c r="H12" s="738"/>
      <c r="I12" s="323" t="s">
        <v>937</v>
      </c>
      <c r="J12" s="322" t="s">
        <v>939</v>
      </c>
      <c r="K12" s="322" t="s">
        <v>941</v>
      </c>
      <c r="L12" s="322" t="s">
        <v>943</v>
      </c>
      <c r="M12" s="322" t="s">
        <v>935</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951</v>
      </c>
      <c r="AT12" s="684"/>
      <c r="AU12" s="683" t="s">
        <v>873</v>
      </c>
      <c r="AV12" s="684"/>
      <c r="AW12" s="683" t="s">
        <v>881</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550</v>
      </c>
      <c r="BW12" s="487" t="s">
        <v>425</v>
      </c>
      <c r="BX12" s="487" t="s">
        <v>426</v>
      </c>
      <c r="BY12" s="696" t="s">
        <v>962</v>
      </c>
      <c r="BZ12" s="487"/>
      <c r="CA12" s="487" t="s">
        <v>317</v>
      </c>
      <c r="CB12" s="487" t="s">
        <v>312</v>
      </c>
      <c r="CC12" s="487" t="s">
        <v>313</v>
      </c>
      <c r="CD12" s="487" t="s">
        <v>314</v>
      </c>
      <c r="CE12" s="696"/>
      <c r="CF12" s="696"/>
      <c r="CG12" s="696"/>
      <c r="CH12" s="696"/>
      <c r="CI12" s="696" t="s">
        <v>538</v>
      </c>
      <c r="CJ12" s="696" t="s">
        <v>325</v>
      </c>
      <c r="CK12" s="487" t="s">
        <v>543</v>
      </c>
      <c r="CL12" s="487" t="s">
        <v>545</v>
      </c>
      <c r="CM12" s="487" t="s">
        <v>547</v>
      </c>
      <c r="CN12" s="735" t="s">
        <v>369</v>
      </c>
      <c r="CO12" s="696">
        <v>2880</v>
      </c>
      <c r="CP12" s="735" t="s">
        <v>337</v>
      </c>
      <c r="CQ12" s="735" t="s">
        <v>923</v>
      </c>
      <c r="CR12" s="735"/>
      <c r="CS12" s="696"/>
      <c r="CT12" s="487"/>
      <c r="CU12" s="487"/>
      <c r="CV12" s="487" t="s">
        <v>554</v>
      </c>
      <c r="CW12" s="487" t="s">
        <v>373</v>
      </c>
      <c r="CX12" s="487" t="s">
        <v>382</v>
      </c>
      <c r="CY12" s="487" t="s">
        <v>487</v>
      </c>
      <c r="CZ12" s="487" t="s">
        <v>488</v>
      </c>
      <c r="DA12" s="487" t="s">
        <v>489</v>
      </c>
      <c r="DB12" s="730" t="s">
        <v>952</v>
      </c>
      <c r="DC12" s="730" t="s">
        <v>953</v>
      </c>
      <c r="DD12" s="487"/>
      <c r="DE12" s="487" t="s">
        <v>269</v>
      </c>
      <c r="DF12" s="487"/>
      <c r="DG12" s="487" t="s">
        <v>496</v>
      </c>
      <c r="DH12" s="487" t="s">
        <v>551</v>
      </c>
      <c r="DI12" s="487" t="s">
        <v>552</v>
      </c>
      <c r="DJ12" s="487" t="s">
        <v>553</v>
      </c>
      <c r="DK12" s="487"/>
      <c r="DL12" s="487"/>
      <c r="DM12" s="735"/>
      <c r="DN12" s="735"/>
      <c r="DO12" s="735"/>
      <c r="DP12" s="735"/>
      <c r="DQ12" s="735"/>
      <c r="DR12" s="735"/>
      <c r="DS12" s="735"/>
      <c r="DT12" s="735"/>
      <c r="DU12" s="735" t="s">
        <v>736</v>
      </c>
      <c r="DV12" s="735" t="s">
        <v>731</v>
      </c>
      <c r="DW12" s="735" t="s">
        <v>732</v>
      </c>
      <c r="DX12" s="735" t="s">
        <v>733</v>
      </c>
      <c r="DY12" s="735" t="s">
        <v>734</v>
      </c>
      <c r="DZ12" s="735"/>
      <c r="EA12" s="735"/>
      <c r="EB12" s="735"/>
      <c r="EC12" s="735"/>
      <c r="ED12" s="735"/>
      <c r="EE12" s="735"/>
      <c r="EF12" s="735"/>
      <c r="EG12" s="735"/>
      <c r="EH12" s="735"/>
      <c r="EI12" s="735"/>
      <c r="EJ12" s="735"/>
      <c r="EK12" s="735"/>
      <c r="EL12" s="735" t="s">
        <v>860</v>
      </c>
      <c r="EM12" s="735" t="s">
        <v>861</v>
      </c>
      <c r="EN12" s="487" t="s">
        <v>859</v>
      </c>
      <c r="EO12" s="1137" t="s">
        <v>960</v>
      </c>
      <c r="EP12" s="1137" t="s">
        <v>930</v>
      </c>
      <c r="EQ12" s="1137" t="s">
        <v>931</v>
      </c>
      <c r="ER12" s="1150">
        <v>680</v>
      </c>
      <c r="ES12" s="1148"/>
      <c r="ET12" s="1307"/>
      <c r="EU12" s="1307"/>
      <c r="EV12" s="487" t="s">
        <v>901</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557</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568</v>
      </c>
      <c r="J16" s="322" t="s">
        <v>839</v>
      </c>
      <c r="K16" s="322" t="s">
        <v>847</v>
      </c>
      <c r="L16" s="322" t="s">
        <v>852</v>
      </c>
      <c r="M16" s="322" t="s">
        <v>567</v>
      </c>
      <c r="N16" s="322" t="s">
        <v>358</v>
      </c>
      <c r="O16" s="681" t="s">
        <v>359</v>
      </c>
      <c r="P16" s="322" t="s">
        <v>528</v>
      </c>
      <c r="Q16" s="322" t="s">
        <v>529</v>
      </c>
      <c r="R16" s="322" t="s">
        <v>530</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801</v>
      </c>
      <c r="AT16" s="684" t="s">
        <v>794</v>
      </c>
      <c r="AU16" s="683" t="s">
        <v>578</v>
      </c>
      <c r="AV16" s="684" t="s">
        <v>795</v>
      </c>
      <c r="AW16" s="683" t="s">
        <v>579</v>
      </c>
      <c r="AX16" s="684" t="s">
        <v>796</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827</v>
      </c>
      <c r="BZ16" s="693" t="s">
        <v>913</v>
      </c>
      <c r="CA16" s="692"/>
      <c r="CB16" s="692"/>
      <c r="CC16" s="692"/>
      <c r="CD16" s="692"/>
      <c r="CE16" s="692"/>
      <c r="CF16" s="692"/>
      <c r="CG16" s="692"/>
      <c r="CH16" s="692"/>
      <c r="CI16" s="692" t="s">
        <v>540</v>
      </c>
      <c r="CJ16" s="692" t="s">
        <v>438</v>
      </c>
      <c r="CK16" s="692" t="s">
        <v>517</v>
      </c>
      <c r="CL16" s="692" t="s">
        <v>518</v>
      </c>
      <c r="CM16" s="692" t="s">
        <v>519</v>
      </c>
      <c r="CN16" s="692">
        <v>1262</v>
      </c>
      <c r="CO16" s="692">
        <v>6600</v>
      </c>
      <c r="CP16" s="692">
        <v>1262</v>
      </c>
      <c r="CQ16" s="693" t="s">
        <v>569</v>
      </c>
      <c r="CR16" s="693" t="s">
        <v>914</v>
      </c>
      <c r="CS16" s="692" t="s">
        <v>430</v>
      </c>
      <c r="CT16" s="487"/>
      <c r="CU16" s="487"/>
      <c r="CV16" s="487" t="s">
        <v>415</v>
      </c>
      <c r="CW16" s="487" t="s">
        <v>374</v>
      </c>
      <c r="CX16" s="487" t="s">
        <v>181</v>
      </c>
      <c r="CY16" s="487"/>
      <c r="CZ16" s="487"/>
      <c r="DA16" s="487"/>
      <c r="DB16" s="335" t="s">
        <v>840</v>
      </c>
      <c r="DC16" s="335" t="s">
        <v>841</v>
      </c>
      <c r="DD16" s="487"/>
      <c r="DE16" s="487" t="s">
        <v>576</v>
      </c>
      <c r="DF16" s="487" t="s">
        <v>452</v>
      </c>
      <c r="DG16" s="487"/>
      <c r="DH16" s="692" t="s">
        <v>469</v>
      </c>
      <c r="DI16" s="692" t="s">
        <v>470</v>
      </c>
      <c r="DJ16" s="692" t="s">
        <v>471</v>
      </c>
      <c r="DK16" s="692"/>
      <c r="DL16" s="692"/>
      <c r="DM16" s="692"/>
      <c r="DN16" s="692"/>
      <c r="DO16" s="692"/>
      <c r="DP16" s="692"/>
      <c r="DQ16" s="692"/>
      <c r="DR16" s="692"/>
      <c r="DS16" s="692"/>
      <c r="DT16" s="692"/>
      <c r="DU16" s="692" t="s">
        <v>662</v>
      </c>
      <c r="DV16" s="692"/>
      <c r="DW16" s="692"/>
      <c r="DX16" s="692"/>
      <c r="DY16" s="692"/>
      <c r="DZ16" s="692"/>
      <c r="EA16" s="692"/>
      <c r="EB16" s="692" t="s">
        <v>799</v>
      </c>
      <c r="EC16" s="692" t="s">
        <v>671</v>
      </c>
      <c r="ED16" s="692"/>
      <c r="EE16" s="692">
        <v>6000</v>
      </c>
      <c r="EF16" s="692">
        <v>650</v>
      </c>
      <c r="EG16" s="692"/>
      <c r="EH16" s="692"/>
      <c r="EI16" s="692" t="s">
        <v>672</v>
      </c>
      <c r="EJ16" s="692"/>
      <c r="EK16" s="692"/>
      <c r="EL16" s="692"/>
      <c r="EM16" s="692"/>
      <c r="EN16" s="692"/>
      <c r="EO16" s="1136" t="s">
        <v>870</v>
      </c>
      <c r="EP16" s="1136" t="s">
        <v>874</v>
      </c>
      <c r="EQ16" s="1136" t="s">
        <v>882</v>
      </c>
      <c r="ER16" s="1153" t="s">
        <v>830</v>
      </c>
      <c r="ES16" s="1147"/>
      <c r="ET16" s="1307"/>
      <c r="EU16" s="1307"/>
      <c r="EV16" s="487" t="s">
        <v>900</v>
      </c>
      <c r="EW16" s="692"/>
      <c r="EX16" s="692"/>
      <c r="EY16" s="692"/>
    </row>
    <row r="17" spans="1:155" ht="14.25" customHeight="1">
      <c r="A17" s="7" t="s">
        <v>445</v>
      </c>
      <c r="B17" s="21" t="s">
        <v>443</v>
      </c>
      <c r="C17" s="22" t="s">
        <v>3</v>
      </c>
      <c r="D17" s="23" t="s">
        <v>20</v>
      </c>
      <c r="E17" s="21" t="s">
        <v>20</v>
      </c>
      <c r="F17" s="21">
        <v>31</v>
      </c>
      <c r="G17" s="6"/>
      <c r="H17" s="24"/>
      <c r="I17" s="25" t="s">
        <v>568</v>
      </c>
      <c r="J17" s="26" t="s">
        <v>842</v>
      </c>
      <c r="K17" s="26" t="s">
        <v>848</v>
      </c>
      <c r="L17" s="26" t="s">
        <v>853</v>
      </c>
      <c r="M17" s="26" t="s">
        <v>567</v>
      </c>
      <c r="N17" s="26" t="s">
        <v>168</v>
      </c>
      <c r="O17" s="59" t="s">
        <v>248</v>
      </c>
      <c r="P17" s="26" t="s">
        <v>528</v>
      </c>
      <c r="Q17" s="26" t="s">
        <v>529</v>
      </c>
      <c r="R17" s="26" t="s">
        <v>530</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843</v>
      </c>
      <c r="AT17" s="27"/>
      <c r="AU17" s="51" t="s">
        <v>849</v>
      </c>
      <c r="AV17" s="27"/>
      <c r="AW17" s="51" t="s">
        <v>854</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581</v>
      </c>
      <c r="BZ17" s="162"/>
      <c r="CA17" s="162"/>
      <c r="CB17" s="162"/>
      <c r="CC17" s="162"/>
      <c r="CD17" s="162"/>
      <c r="CE17" s="162"/>
      <c r="CF17" s="162"/>
      <c r="CG17" s="162"/>
      <c r="CH17" s="162"/>
      <c r="CI17" s="162" t="s">
        <v>540</v>
      </c>
      <c r="CJ17" s="162" t="s">
        <v>438</v>
      </c>
      <c r="CK17" s="160" t="s">
        <v>517</v>
      </c>
      <c r="CL17" s="160" t="s">
        <v>518</v>
      </c>
      <c r="CM17" s="160" t="s">
        <v>519</v>
      </c>
      <c r="CN17" s="294" t="s">
        <v>369</v>
      </c>
      <c r="CO17" s="162">
        <v>2880</v>
      </c>
      <c r="CP17" s="219" t="s">
        <v>338</v>
      </c>
      <c r="CQ17" s="219" t="s">
        <v>569</v>
      </c>
      <c r="CR17" s="219"/>
      <c r="CS17" s="160" t="s">
        <v>430</v>
      </c>
      <c r="CT17" s="161"/>
      <c r="CU17" s="161"/>
      <c r="CV17" s="161" t="s">
        <v>415</v>
      </c>
      <c r="CW17" s="161" t="s">
        <v>374</v>
      </c>
      <c r="CX17" s="161" t="s">
        <v>181</v>
      </c>
      <c r="CY17" s="161"/>
      <c r="CZ17" s="161"/>
      <c r="DA17" s="161"/>
      <c r="DB17" s="152" t="s">
        <v>844</v>
      </c>
      <c r="DC17" s="152" t="s">
        <v>845</v>
      </c>
      <c r="DD17" s="161"/>
      <c r="DE17" s="161" t="s">
        <v>576</v>
      </c>
      <c r="DF17" s="161" t="s">
        <v>452</v>
      </c>
      <c r="DG17" s="487"/>
      <c r="DH17" s="160" t="s">
        <v>469</v>
      </c>
      <c r="DI17" s="160" t="s">
        <v>470</v>
      </c>
      <c r="DJ17" s="160" t="s">
        <v>471</v>
      </c>
      <c r="DK17" s="160"/>
      <c r="DL17" s="160"/>
      <c r="DM17" s="160"/>
      <c r="DN17" s="160"/>
      <c r="DO17" s="160"/>
      <c r="DP17" s="160"/>
      <c r="DQ17" s="160"/>
      <c r="DR17" s="160"/>
      <c r="DS17" s="160"/>
      <c r="DT17" s="160"/>
      <c r="DU17" s="160" t="s">
        <v>662</v>
      </c>
      <c r="DV17" s="160"/>
      <c r="DW17" s="160"/>
      <c r="DX17" s="160"/>
      <c r="DY17" s="160"/>
      <c r="DZ17" s="160"/>
      <c r="EA17" s="160"/>
      <c r="EB17" s="160"/>
      <c r="EC17" s="160"/>
      <c r="ED17" s="160"/>
      <c r="EE17" s="160"/>
      <c r="EF17" s="160"/>
      <c r="EG17" s="160"/>
      <c r="EH17" s="160"/>
      <c r="EI17" s="160" t="s">
        <v>672</v>
      </c>
      <c r="EJ17" s="160"/>
      <c r="EK17" s="160"/>
      <c r="EL17" s="160"/>
      <c r="EM17" s="160"/>
      <c r="EN17" s="160"/>
      <c r="EO17" s="1136" t="s">
        <v>846</v>
      </c>
      <c r="EP17" s="1136" t="s">
        <v>850</v>
      </c>
      <c r="EQ17" s="1136" t="s">
        <v>855</v>
      </c>
      <c r="ER17" s="1152">
        <v>1000</v>
      </c>
      <c r="ES17" s="1147"/>
      <c r="ET17" s="1307"/>
      <c r="EU17" s="1307"/>
      <c r="EV17" s="487" t="s">
        <v>900</v>
      </c>
      <c r="EW17" s="160"/>
      <c r="EX17" s="160"/>
      <c r="EY17" s="160"/>
    </row>
    <row r="18" spans="1:155" ht="14.25" customHeight="1">
      <c r="A18" s="7" t="s">
        <v>156</v>
      </c>
      <c r="B18" s="21" t="s">
        <v>443</v>
      </c>
      <c r="C18" s="22" t="s">
        <v>3</v>
      </c>
      <c r="D18" s="23" t="s">
        <v>85</v>
      </c>
      <c r="E18" s="21" t="s">
        <v>85</v>
      </c>
      <c r="F18" s="21" t="s">
        <v>151</v>
      </c>
      <c r="G18" s="6"/>
      <c r="H18" s="24"/>
      <c r="I18" s="25" t="s">
        <v>157</v>
      </c>
      <c r="J18" s="26" t="s">
        <v>894</v>
      </c>
      <c r="K18" s="26" t="s">
        <v>159</v>
      </c>
      <c r="L18" s="26" t="s">
        <v>851</v>
      </c>
      <c r="M18" s="26" t="s">
        <v>566</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582</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788</v>
      </c>
      <c r="BZ18" s="179" t="s">
        <v>798</v>
      </c>
      <c r="CA18" s="159"/>
      <c r="CB18" s="159"/>
      <c r="CC18" s="159"/>
      <c r="CD18" s="159"/>
      <c r="CE18" s="159"/>
      <c r="CF18" s="159"/>
      <c r="CG18" s="159"/>
      <c r="CH18" s="159"/>
      <c r="CI18" s="159" t="s">
        <v>559</v>
      </c>
      <c r="CJ18" s="159" t="s">
        <v>329</v>
      </c>
      <c r="CK18" s="159" t="s">
        <v>520</v>
      </c>
      <c r="CL18" s="159" t="s">
        <v>521</v>
      </c>
      <c r="CM18" s="159" t="s">
        <v>521</v>
      </c>
      <c r="CN18" s="159">
        <v>1175</v>
      </c>
      <c r="CO18" s="159">
        <v>1800</v>
      </c>
      <c r="CP18" s="294" t="s">
        <v>459</v>
      </c>
      <c r="CQ18" s="159" t="s">
        <v>797</v>
      </c>
      <c r="CR18" s="159"/>
      <c r="CS18" s="159" t="s">
        <v>676</v>
      </c>
      <c r="CT18" s="161"/>
      <c r="CU18" s="161"/>
      <c r="CV18" s="161" t="s">
        <v>346</v>
      </c>
      <c r="CW18" s="161" t="s">
        <v>376</v>
      </c>
      <c r="CX18" s="161" t="s">
        <v>379</v>
      </c>
      <c r="CY18" s="161"/>
      <c r="CZ18" s="161"/>
      <c r="DA18" s="161"/>
      <c r="DB18" s="327" t="s">
        <v>838</v>
      </c>
      <c r="DC18" s="333"/>
      <c r="DD18" s="161"/>
      <c r="DE18" s="334" t="s">
        <v>575</v>
      </c>
      <c r="DF18" s="334" t="s">
        <v>158</v>
      </c>
      <c r="DG18" s="487"/>
      <c r="DH18" s="159" t="s">
        <v>477</v>
      </c>
      <c r="DI18" s="159" t="s">
        <v>475</v>
      </c>
      <c r="DJ18" s="159" t="s">
        <v>476</v>
      </c>
      <c r="DK18" s="159"/>
      <c r="DL18" s="159"/>
      <c r="DM18" s="160"/>
      <c r="DN18" s="160"/>
      <c r="DO18" s="160"/>
      <c r="DP18" s="160"/>
      <c r="DQ18" s="160"/>
      <c r="DR18" s="160"/>
      <c r="DS18" s="160"/>
      <c r="DT18" s="160"/>
      <c r="DU18" s="160" t="s">
        <v>663</v>
      </c>
      <c r="DV18" s="160"/>
      <c r="DW18" s="160"/>
      <c r="DX18" s="160"/>
      <c r="DY18" s="160"/>
      <c r="DZ18" s="160"/>
      <c r="EA18" s="160"/>
      <c r="EB18" s="160" t="s">
        <v>670</v>
      </c>
      <c r="EC18" s="160" t="s">
        <v>673</v>
      </c>
      <c r="ED18" s="160"/>
      <c r="EE18" s="160">
        <v>1200</v>
      </c>
      <c r="EF18" s="160">
        <v>600</v>
      </c>
      <c r="EG18" s="160"/>
      <c r="EH18" s="160"/>
      <c r="EI18" s="160" t="s">
        <v>675</v>
      </c>
      <c r="EJ18" s="160"/>
      <c r="EK18" s="160"/>
      <c r="EL18" s="160"/>
      <c r="EM18" s="160"/>
      <c r="EN18" s="160"/>
      <c r="EO18" s="327" t="s">
        <v>838</v>
      </c>
      <c r="EP18" s="327" t="s">
        <v>159</v>
      </c>
      <c r="EQ18" s="327" t="s">
        <v>851</v>
      </c>
      <c r="ER18" s="1151">
        <v>1600</v>
      </c>
      <c r="ES18" s="349"/>
      <c r="ET18" s="1307"/>
      <c r="EU18" s="1307"/>
      <c r="EV18" s="487" t="s">
        <v>903</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883</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570</v>
      </c>
      <c r="BZ19" s="162"/>
      <c r="CA19" s="162"/>
      <c r="CB19" s="162"/>
      <c r="CC19" s="162"/>
      <c r="CD19" s="162"/>
      <c r="CE19" s="162"/>
      <c r="CF19" s="162"/>
      <c r="CG19" s="162"/>
      <c r="CH19" s="162"/>
      <c r="CI19" s="162" t="s">
        <v>556</v>
      </c>
      <c r="CJ19" s="162" t="s">
        <v>326</v>
      </c>
      <c r="CK19" s="162" t="s">
        <v>522</v>
      </c>
      <c r="CL19" s="162" t="s">
        <v>523</v>
      </c>
      <c r="CM19" s="162" t="s">
        <v>524</v>
      </c>
      <c r="CN19" s="162">
        <v>1262</v>
      </c>
      <c r="CO19" s="162">
        <v>700</v>
      </c>
      <c r="CP19" s="162">
        <v>1262</v>
      </c>
      <c r="CQ19" s="162" t="s">
        <v>800</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677</v>
      </c>
      <c r="DG19" s="487" t="s">
        <v>497</v>
      </c>
      <c r="DH19" s="162" t="s">
        <v>481</v>
      </c>
      <c r="DI19" s="162" t="s">
        <v>482</v>
      </c>
      <c r="DJ19" s="162" t="s">
        <v>483</v>
      </c>
      <c r="DK19" s="162"/>
      <c r="DL19" s="162"/>
      <c r="DM19" s="160"/>
      <c r="DN19" s="160"/>
      <c r="DO19" s="160"/>
      <c r="DP19" s="160"/>
      <c r="DQ19" s="160"/>
      <c r="DR19" s="160"/>
      <c r="DS19" s="160"/>
      <c r="DT19" s="160"/>
      <c r="DU19" s="160" t="s">
        <v>664</v>
      </c>
      <c r="DV19" s="160"/>
      <c r="DW19" s="160"/>
      <c r="DX19" s="160"/>
      <c r="DY19" s="160"/>
      <c r="DZ19" s="160"/>
      <c r="EA19" s="160"/>
      <c r="EB19" s="160"/>
      <c r="EC19" s="160"/>
      <c r="ED19" s="160"/>
      <c r="EE19" s="160"/>
      <c r="EF19" s="160"/>
      <c r="EG19" s="160"/>
      <c r="EH19" s="160"/>
      <c r="EI19" s="160"/>
      <c r="EJ19" s="160"/>
      <c r="EK19" s="160"/>
      <c r="EL19" s="160"/>
      <c r="EM19" s="160"/>
      <c r="EN19" s="160"/>
      <c r="EO19" s="1136" t="s">
        <v>819</v>
      </c>
      <c r="EP19" s="1136" t="s">
        <v>820</v>
      </c>
      <c r="EQ19" s="1136" t="s">
        <v>821</v>
      </c>
      <c r="ER19" s="1152">
        <v>875</v>
      </c>
      <c r="ES19" s="1147"/>
      <c r="ET19" s="1307"/>
      <c r="EU19" s="1307"/>
      <c r="EV19" s="487" t="s">
        <v>905</v>
      </c>
      <c r="EW19" s="160"/>
      <c r="EX19" s="160"/>
      <c r="EY19" s="160" t="s">
        <v>947</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xPfgcXFBgygW89HYeKwVkTUtnWehw15Ubm3DiTBdUXpQ9N5+490n70bmi70JRo04GuvcFx/11fQiDSbsjCDqw==" saltValue="nPOSyDXrcdNy5srDu21a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CANARIAS</v>
      </c>
      <c r="F1" s="532"/>
    </row>
    <row r="2" spans="1:74" ht="16.5" customHeight="1">
      <c r="C2" s="521" t="str">
        <f>Criterios!A10 &amp;"  "&amp;Criterios!B10 &amp; "  " &amp; IF(NOT(ISBLANK(Criterios!A11)),Criterios!A11 &amp;"  "&amp;Criterios!B11,"")</f>
        <v>Provincias  LAS PALMAS  Resumenes por Partidos Judiciales  ARRECIFE</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724</v>
      </c>
      <c r="L5" s="1660" t="s">
        <v>615</v>
      </c>
      <c r="M5" s="1660" t="s">
        <v>583</v>
      </c>
      <c r="N5" s="1660" t="s">
        <v>725</v>
      </c>
      <c r="O5" s="1663" t="s">
        <v>641</v>
      </c>
      <c r="P5" s="1660" t="s">
        <v>743</v>
      </c>
      <c r="Q5" s="1660" t="s">
        <v>738</v>
      </c>
      <c r="R5" s="1660" t="s">
        <v>190</v>
      </c>
      <c r="S5" s="1666" t="s">
        <v>735</v>
      </c>
      <c r="T5" s="1666" t="s">
        <v>737</v>
      </c>
      <c r="U5" s="1660" t="s">
        <v>644</v>
      </c>
      <c r="V5" s="1666" t="s">
        <v>616</v>
      </c>
      <c r="W5" s="1660" t="s">
        <v>834</v>
      </c>
      <c r="X5" s="1660" t="s">
        <v>835</v>
      </c>
      <c r="Y5" s="1680" t="s">
        <v>726</v>
      </c>
      <c r="Z5" s="1677" t="s">
        <v>667</v>
      </c>
      <c r="AA5" s="1695" t="s">
        <v>617</v>
      </c>
      <c r="AB5" s="1677" t="s">
        <v>618</v>
      </c>
      <c r="AC5" s="1677" t="s">
        <v>619</v>
      </c>
      <c r="AD5" s="1698" t="s">
        <v>727</v>
      </c>
      <c r="AE5" s="1698" t="s">
        <v>862</v>
      </c>
      <c r="AF5" s="1660" t="s">
        <v>739</v>
      </c>
      <c r="AG5" s="1660" t="s">
        <v>584</v>
      </c>
      <c r="AH5" s="1660" t="s">
        <v>728</v>
      </c>
      <c r="AI5" s="1660" t="s">
        <v>201</v>
      </c>
      <c r="AJ5" s="1660" t="s">
        <v>793</v>
      </c>
      <c r="AK5" s="1660" t="s">
        <v>585</v>
      </c>
      <c r="AL5" s="1660" t="s">
        <v>586</v>
      </c>
      <c r="AM5" s="1660" t="s">
        <v>744</v>
      </c>
      <c r="AN5" s="1660" t="s">
        <v>587</v>
      </c>
      <c r="AO5" s="1660" t="s">
        <v>588</v>
      </c>
      <c r="AP5" s="1660" t="s">
        <v>589</v>
      </c>
      <c r="AQ5" s="1660" t="s">
        <v>590</v>
      </c>
      <c r="AR5" s="1660" t="s">
        <v>729</v>
      </c>
      <c r="AS5" s="1660" t="s">
        <v>204</v>
      </c>
      <c r="AT5" s="1683" t="s">
        <v>202</v>
      </c>
      <c r="AU5" s="1660" t="s">
        <v>740</v>
      </c>
      <c r="AV5" s="1686" t="s">
        <v>741</v>
      </c>
      <c r="AW5" s="1689" t="s">
        <v>592</v>
      </c>
      <c r="AX5" s="1660" t="s">
        <v>593</v>
      </c>
      <c r="AY5" s="1660" t="s">
        <v>665</v>
      </c>
      <c r="AZ5" s="1692" t="s">
        <v>666</v>
      </c>
      <c r="BA5" s="1660" t="s">
        <v>621</v>
      </c>
      <c r="BB5" s="1686" t="s">
        <v>622</v>
      </c>
      <c r="BC5" s="1689" t="s">
        <v>205</v>
      </c>
      <c r="BD5" s="1660" t="s">
        <v>623</v>
      </c>
      <c r="BE5" s="1660" t="s">
        <v>274</v>
      </c>
      <c r="BF5" s="1660" t="s">
        <v>275</v>
      </c>
      <c r="BG5" s="1660" t="s">
        <v>276</v>
      </c>
      <c r="BH5" s="1660" t="s">
        <v>624</v>
      </c>
      <c r="BI5" s="1660" t="s">
        <v>277</v>
      </c>
      <c r="BJ5" s="1660" t="s">
        <v>625</v>
      </c>
      <c r="BK5" s="1660" t="s">
        <v>639</v>
      </c>
      <c r="BL5" s="1660" t="s">
        <v>626</v>
      </c>
      <c r="BM5" s="1660" t="s">
        <v>627</v>
      </c>
      <c r="BN5" s="1660" t="s">
        <v>652</v>
      </c>
      <c r="BO5" s="1660" t="s">
        <v>645</v>
      </c>
      <c r="BP5" s="1660" t="s">
        <v>907</v>
      </c>
      <c r="BQ5" s="1660" t="s">
        <v>910</v>
      </c>
      <c r="BR5" s="1660" t="s">
        <v>912</v>
      </c>
      <c r="BS5" s="1660" t="s">
        <v>646</v>
      </c>
      <c r="BT5" s="1660" t="s">
        <v>628</v>
      </c>
      <c r="BU5" s="1660" t="s">
        <v>591</v>
      </c>
      <c r="BV5" s="1674" t="s">
        <v>836</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5</v>
      </c>
      <c r="B9" s="653" t="s">
        <v>273</v>
      </c>
      <c r="C9" s="671" t="str">
        <f>Datos!A9</f>
        <v xml:space="preserve">Jdos. 1ª Instancia   </v>
      </c>
      <c r="D9" s="544"/>
      <c r="E9" s="670">
        <f>IF(ISNUMBER(Datos!AQ9),Datos!AQ9," - ")</f>
        <v>5</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123</v>
      </c>
      <c r="O9" s="504"/>
      <c r="P9" s="504"/>
      <c r="Q9" s="502">
        <f>IF(ISNUMBER(Datos!P9),Datos!P9,0)</f>
        <v>353</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329</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174</v>
      </c>
      <c r="AI9" s="504" t="str">
        <f>IF(ISNUMBER(Datos!CD9),Datos!CD9,"-")</f>
        <v>-</v>
      </c>
      <c r="AJ9" s="504" t="str">
        <f>IF(ISNUMBER(Datos!EN9),Datos!EN9," - ")</f>
        <v xml:space="preserve"> - </v>
      </c>
      <c r="AK9" s="504"/>
      <c r="AL9" s="505"/>
      <c r="AM9" s="672">
        <f>IF(ISNUMBER(Datos!R9),Datos!R9," - ")</f>
        <v>6824</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287</v>
      </c>
      <c r="BD9" s="620">
        <f>IF(ISNUMBER(Datos!N9),Datos!N9," - ")</f>
        <v>1298</v>
      </c>
      <c r="BE9" s="620" t="str">
        <f>IF(ISNUMBER(Datos!BW9),Datos!BW9," - ")</f>
        <v xml:space="preserve"> - </v>
      </c>
      <c r="BF9" s="668" t="str">
        <f>IF(ISNUMBER(Datos!BX9),Datos!BX9," - ")</f>
        <v xml:space="preserve"> - </v>
      </c>
      <c r="BG9" s="669">
        <f>IF(ISNUMBER(IF(J_V="SI",Datos!K9/Datos!J9,(Datos!K9+Datos!AA9)/(Datos!J9+Datos!Z9))),IF(J_V="SI",Datos!K9/Datos!J9,(Datos!K9+Datos!AA9)/(Datos!J9+Datos!Z9))," - ")</f>
        <v>0.65782828282828287</v>
      </c>
      <c r="BH9" s="670">
        <f>IF(ISNUMBER(((IF(J_V="SI",Datos!L9/Datos!K9,(Datos!L9+Datos!AB9)/(Datos!K9+Datos!AA9)))*11)/factor_trimestre),((IF(J_V="SI",Datos!L9/Datos!K9,(Datos!L9+Datos!AB9)/(Datos!K9+Datos!AA9)))*11)/factor_trimestre," - ")</f>
        <v>9.13531669865643</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3.5294117647058825E-3</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11</v>
      </c>
      <c r="G10" s="498">
        <f>IF(ISNUMBER(Datos!I10),Datos!I10," - ")</f>
        <v>11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7</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27</v>
      </c>
      <c r="AC10" s="502">
        <f>IF(ISNUMBER(Datos!Q10),Datos!Q10," - ")</f>
        <v>2</v>
      </c>
      <c r="AD10" s="504"/>
      <c r="AE10" s="517"/>
      <c r="AF10" s="506">
        <f>IF(ISNUMBER(Datos!L10),Datos!L10,"-")</f>
        <v>13</v>
      </c>
      <c r="AG10" s="504"/>
      <c r="AH10" s="504"/>
      <c r="AI10" s="504"/>
      <c r="AJ10" s="504"/>
      <c r="AK10" s="504"/>
      <c r="AL10" s="505"/>
      <c r="AM10" s="672">
        <f>IF(ISNUMBER(Datos!R10),Datos!R10," - ")</f>
        <v>26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10</v>
      </c>
      <c r="BD10" s="620">
        <f>IF(ISNUMBER(Datos!N10),Datos!N10," - ")</f>
        <v>12</v>
      </c>
      <c r="BE10" s="620" t="str">
        <f>IF(ISNUMBER(Datos!BW10),Datos!BW10," - ")</f>
        <v xml:space="preserve"> - </v>
      </c>
      <c r="BF10" s="668" t="str">
        <f>IF(ISNUMBER(Datos!BX10),Datos!BX10," - ")</f>
        <v xml:space="preserve"> - </v>
      </c>
      <c r="BG10" s="669">
        <f>IF(ISNUMBER(Datos!K10/Datos!J10),Datos!K10/Datos!J10," - ")</f>
        <v>0.93103448275862066</v>
      </c>
      <c r="BH10" s="670">
        <f>IF(ISNUMBER(((Datos!L10/Datos!K10)*11)/factor_trimestre),((Datos!L10/Datos!K10)*11)/factor_trimestre," - ")</f>
        <v>1.4444444444444444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0.23809523809523808</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0</v>
      </c>
      <c r="O12" s="504"/>
      <c r="P12" s="504"/>
      <c r="Q12" s="502">
        <f>IF(ISNUMBER(Datos!P12),Datos!P12,0)</f>
        <v>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0</v>
      </c>
      <c r="AI12" s="504" t="str">
        <f>IF(ISNUMBER(Datos!CD12),Datos!CD12,"-")</f>
        <v>-</v>
      </c>
      <c r="AJ12" s="504" t="str">
        <f>IF(ISNUMBER(Datos!EN12),Datos!EN12," - ")</f>
        <v xml:space="preserve"> - </v>
      </c>
      <c r="AK12" s="504"/>
      <c r="AL12" s="505"/>
      <c r="AM12" s="672">
        <f>IF(ISNUMBER(Datos!R12),Datos!R12," - ")</f>
        <v>658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0</v>
      </c>
      <c r="BD12" s="620">
        <f>IF(ISNUMBER(Datos!N12),Datos!N12," - ")</f>
        <v>0</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-4.5385779122541605E-3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11</v>
      </c>
      <c r="G14" s="1045">
        <f t="shared" si="1"/>
        <v>11</v>
      </c>
      <c r="H14" s="1046">
        <f t="shared" si="1"/>
        <v>0</v>
      </c>
      <c r="I14" s="1045">
        <f t="shared" si="1"/>
        <v>0</v>
      </c>
      <c r="J14" s="1014">
        <f t="shared" si="1"/>
        <v>0</v>
      </c>
      <c r="K14" s="1014">
        <f t="shared" si="1"/>
        <v>0</v>
      </c>
      <c r="L14" s="1046">
        <f t="shared" si="1"/>
        <v>0</v>
      </c>
      <c r="M14" s="1046">
        <f t="shared" si="1"/>
        <v>0</v>
      </c>
      <c r="N14" s="1046">
        <f t="shared" si="1"/>
        <v>123</v>
      </c>
      <c r="O14" s="1047">
        <f t="shared" si="1"/>
        <v>0</v>
      </c>
      <c r="P14" s="1047">
        <f t="shared" si="1"/>
        <v>0</v>
      </c>
      <c r="Q14" s="1046">
        <f t="shared" si="1"/>
        <v>369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27</v>
      </c>
      <c r="AC14" s="1046">
        <f t="shared" si="2"/>
        <v>343</v>
      </c>
      <c r="AD14" s="1046">
        <f t="shared" si="2"/>
        <v>0</v>
      </c>
      <c r="AE14" s="1046">
        <f t="shared" si="2"/>
        <v>0</v>
      </c>
      <c r="AF14" s="1046">
        <f t="shared" si="2"/>
        <v>13</v>
      </c>
      <c r="AG14" s="1046">
        <f t="shared" si="2"/>
        <v>0</v>
      </c>
      <c r="AH14" s="1046">
        <f t="shared" si="2"/>
        <v>174</v>
      </c>
      <c r="AI14" s="1046">
        <f t="shared" si="2"/>
        <v>0</v>
      </c>
      <c r="AJ14" s="1046">
        <f t="shared" si="2"/>
        <v>0</v>
      </c>
      <c r="AK14" s="1046">
        <f t="shared" si="2"/>
        <v>0</v>
      </c>
      <c r="AL14" s="1046">
        <f t="shared" si="2"/>
        <v>0</v>
      </c>
      <c r="AM14" s="1046">
        <f t="shared" si="2"/>
        <v>7508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297</v>
      </c>
      <c r="BD14" s="1046">
        <f t="shared" si="2"/>
        <v>1310</v>
      </c>
      <c r="BE14" s="1046">
        <f t="shared" si="2"/>
        <v>0</v>
      </c>
      <c r="BF14" s="1046">
        <f t="shared" si="2"/>
        <v>0</v>
      </c>
      <c r="BG14" s="1046">
        <f>IF(ISNUMBER(Datos!K14/Datos!J14),Datos!K14/Datos!J14," - ")</f>
        <v>0.64508783344176968</v>
      </c>
      <c r="BH14" s="1050">
        <f>IF(ISNUMBER(((Datos!L14/Datos!K14)*11)/factor_trimestre),((Datos!L14/Datos!K14)*11)/factor_trimestre," - ")</f>
        <v>9.3585476550680777</v>
      </c>
      <c r="BI14" s="1046">
        <f>IF(ISNUMBER('Resol  Asuntos'!D14/NºAsuntos!G14),'Resol  Asuntos'!D14/NºAsuntos!G14," - ")</f>
        <v>0.14069161534817623</v>
      </c>
      <c r="BJ14" s="1046" t="str">
        <f>IF(ISNUMBER(Datos!CI14/Datos!CJ14),Datos!CI14/Datos!CJ14," - ")</f>
        <v xml:space="preserve"> - </v>
      </c>
      <c r="BK14" s="1046">
        <f>SUBTOTAL(9,BK8:BK13)</f>
        <v>0</v>
      </c>
      <c r="BL14" s="1046">
        <f>IF(ISNUMBER((I14-AB14+L14)/(F14)),(I14-AB14+L14)/(F14)," - ")</f>
        <v>-2.4545454545454546</v>
      </c>
      <c r="BM14" s="1051">
        <f>SUBTOTAL(9,BM9:BM13)</f>
        <v>0.23708607194768982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4</v>
      </c>
      <c r="B16" s="647" t="s">
        <v>437</v>
      </c>
      <c r="C16" s="657" t="str">
        <f>Datos!A16</f>
        <v xml:space="preserve">Jdos. Instrucción                               </v>
      </c>
      <c r="D16" s="658"/>
      <c r="E16" s="1334">
        <f>IF(ISNUMBER(Datos!AQ16),Datos!AQ16," - ")</f>
        <v>4</v>
      </c>
      <c r="F16" s="648">
        <f>IF(ISNUMBER(AF16+AB16-Datos!J16-L16),AF16+AB16-Datos!J16-L16," - ")</f>
        <v>1572</v>
      </c>
      <c r="G16" s="651">
        <f>IF(ISNUMBER(IF(D_I="SI",Datos!I16,Datos!I16+Datos!AC16)),IF(D_I="SI",Datos!I16,Datos!I16+Datos!AC16)," - ")</f>
        <v>1531</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57</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3420</v>
      </c>
      <c r="AC16" s="231">
        <f>IF(ISNUMBER(Datos!Q16),Datos!Q16," - ")</f>
        <v>73</v>
      </c>
      <c r="AD16" s="344"/>
      <c r="AE16" s="516"/>
      <c r="AF16" s="649">
        <f>IF(ISNUMBER(IF(D_I="SI",Datos!L16,Datos!L16+Datos!AF16)),IF(D_I="SI",Datos!L16,Datos!L16+Datos!AF16)," - ")</f>
        <v>1691</v>
      </c>
      <c r="AG16" s="344"/>
      <c r="AH16" s="344"/>
      <c r="AI16" s="344"/>
      <c r="AJ16" s="504"/>
      <c r="AK16" s="344"/>
      <c r="AL16" s="500"/>
      <c r="AM16" s="345">
        <f>IF(ISNUMBER(Datos!R16),Datos!R16," - ")</f>
        <v>385</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387</v>
      </c>
      <c r="BD16" s="234">
        <f>IF(ISNUMBER(Datos!N16),Datos!N16," - ")</f>
        <v>2442</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0.96637468211359145</v>
      </c>
      <c r="BH16" s="670">
        <f>IF(ISNUMBER(((IF(D_I="SI",Datos!L16/Datos!K16,(Datos!L16+Datos!AF16)/(Datos!K16+Datos!AE16)))*11)/factor_trimestre),((IF(D_I="SI",Datos!L16/Datos!K16,(Datos!L16+Datos!AF16)/(Datos!K16+Datos!AE16)))*11)/factor_trimestre," - ")</f>
        <v>1.4833333333333334</v>
      </c>
      <c r="BI16" s="248">
        <f>IF(ISNUMBER('Resol  Asuntos'!D16/NºAsuntos!G16),'Resol  Asuntos'!D16/NºAsuntos!G16," - ")</f>
        <v>0.11315789473684211</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f>IF(ISNUMBER(AF17+AB17-Datos!J17-L17),AF17+AB17-Datos!J17-L17," - ")</f>
        <v>1</v>
      </c>
      <c r="G17" s="651">
        <f>IF(ISNUMBER(IF(D_I="SI",Datos!I17,Datos!I17+Datos!AC17)),IF(D_I="SI",Datos!I17,Datos!I17+Datos!AC17)," - ")</f>
        <v>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0</v>
      </c>
      <c r="AC17" s="231">
        <f>IF(ISNUMBER(Datos!Q17),Datos!Q17," - ")</f>
        <v>0</v>
      </c>
      <c r="AD17" s="344"/>
      <c r="AE17" s="516"/>
      <c r="AF17" s="649">
        <f>IF(ISNUMBER(IF(D_I="SI",Datos!L17,Datos!L17+Datos!AF17)),IF(D_I="SI",Datos!L17,Datos!L17+Datos!AF17)," - ")</f>
        <v>1</v>
      </c>
      <c r="AG17" s="344"/>
      <c r="AH17" s="344"/>
      <c r="AI17" s="344"/>
      <c r="AJ17" s="504"/>
      <c r="AK17" s="344"/>
      <c r="AL17" s="500"/>
      <c r="AM17" s="345">
        <f>IF(ISNUMBER(Datos!R17),Datos!R17," - ")</f>
        <v>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0</v>
      </c>
      <c r="BD17" s="234">
        <f>IF(ISNUMBER(Datos!N17),Datos!N17," - ")</f>
        <v>0</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108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154</v>
      </c>
      <c r="AC18" s="502">
        <f>IF(ISNUMBER(Datos!Q18),Datos!Q18," - ")</f>
        <v>3</v>
      </c>
      <c r="AD18" s="504"/>
      <c r="AE18" s="516"/>
      <c r="AF18" s="506">
        <f>IF(ISNUMBER(Datos!L18),Datos!L18,"-")</f>
        <v>100</v>
      </c>
      <c r="AG18" s="504"/>
      <c r="AH18" s="504"/>
      <c r="AI18" s="504"/>
      <c r="AJ18" s="504"/>
      <c r="AK18" s="504"/>
      <c r="AL18" s="505"/>
      <c r="AM18" s="672">
        <f>IF(ISNUMBER(Datos!R18),Datos!R18," - ")</f>
        <v>33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41</v>
      </c>
      <c r="BD18" s="620">
        <f>IF(ISNUMBER(Datos!N18),Datos!N18," - ")</f>
        <v>84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1.0845070422535212</v>
      </c>
      <c r="BH18" s="670">
        <f>IF(ISNUMBER(((IF(D_I="SI",Datos!L18/Datos!K18,(Datos!L18+Datos!AF18)/(Datos!K18+Datos!AE18)))*11)/factor_trimestre),((IF(D_I="SI",Datos!L18/Datos!K18,(Datos!L18+Datos!AF18)/(Datos!K18+Datos!AE18)))*11)/factor_trimestre," - ")</f>
        <v>1.948051948051948</v>
      </c>
      <c r="BI18" s="669">
        <f>IF(ISNUMBER('Resol  Asuntos'!D18/NºAsuntos!G18),'Resol  Asuntos'!D18/NºAsuntos!G18," - ")</f>
        <v>0.26623376623376621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1573</v>
      </c>
      <c r="G20" s="1045">
        <f>SUBTOTAL(9,G16:G19)</f>
        <v>1640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3574</v>
      </c>
      <c r="AC20" s="1046">
        <f t="shared" si="5"/>
        <v>76</v>
      </c>
      <c r="AD20" s="1046">
        <f t="shared" si="5"/>
        <v>0</v>
      </c>
      <c r="AE20" s="1046">
        <f t="shared" si="5"/>
        <v>0</v>
      </c>
      <c r="AF20" s="1046">
        <f t="shared" si="5"/>
        <v>1792</v>
      </c>
      <c r="AG20" s="1046">
        <f t="shared" si="5"/>
        <v>0</v>
      </c>
      <c r="AH20" s="1046">
        <f t="shared" si="5"/>
        <v>0</v>
      </c>
      <c r="AI20" s="1046">
        <f t="shared" si="5"/>
        <v>0</v>
      </c>
      <c r="AJ20" s="1046">
        <f t="shared" si="5"/>
        <v>0</v>
      </c>
      <c r="AK20" s="1046">
        <f t="shared" si="5"/>
        <v>0</v>
      </c>
      <c r="AL20" s="1046">
        <f t="shared" si="5"/>
        <v>0</v>
      </c>
      <c r="AM20" s="1046">
        <f t="shared" si="5"/>
        <v>418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428</v>
      </c>
      <c r="BD20" s="1046">
        <f t="shared" si="5"/>
        <v>2526</v>
      </c>
      <c r="BE20" s="1046">
        <f t="shared" si="5"/>
        <v>0</v>
      </c>
      <c r="BF20" s="1046">
        <f t="shared" si="5"/>
        <v>0</v>
      </c>
      <c r="BG20" s="1046">
        <f>IF(ISNUMBER(Datos!K20/Datos!J20),Datos!K20/Datos!J20," - ")</f>
        <v>0.97093181200760659</v>
      </c>
      <c r="BH20" s="1050">
        <f>IF(ISNUMBER(((Datos!L20/Datos!K20)*11)/factor_trimestre),((Datos!L20/Datos!K20)*11)/factor_trimestre," - ")</f>
        <v>1.5041969781757134</v>
      </c>
      <c r="BI20" s="1046">
        <f>SUBTOTAL(9,BI16:BI19)</f>
        <v>0.37939166097060834</v>
      </c>
      <c r="BJ20" s="1046">
        <f>SUBTOTAL(9,BJ16:BJ19)</f>
        <v>0</v>
      </c>
      <c r="BK20" s="1046">
        <f>SUBTOTAL(9,BK16:BK19)</f>
        <v>0</v>
      </c>
      <c r="BL20" s="1046">
        <f>IF(ISNUMBER((I20-AB20+L20)/(F20)),(I20-AB20+L20)/(F20)," - ")</f>
        <v>-2.2720915448188177</v>
      </c>
      <c r="BM20" s="1052">
        <f>IF(ISNUMBER((Datos!P20-Datos!Q20)/(Datos!R20-Datos!P20+Datos!Q20)),(Datos!P20-Datos!Q20)/(Datos!R20-Datos!P20+Datos!Q20)," - ")</f>
        <v>-4.3478260869565216E-2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9</v>
      </c>
      <c r="F21" s="967">
        <f t="shared" si="7"/>
        <v>1584</v>
      </c>
      <c r="G21" s="967">
        <f t="shared" si="7"/>
        <v>1651</v>
      </c>
      <c r="H21" s="969">
        <f t="shared" si="7"/>
        <v>0</v>
      </c>
      <c r="I21" s="967">
        <f t="shared" si="7"/>
        <v>0</v>
      </c>
      <c r="J21" s="969">
        <f t="shared" si="7"/>
        <v>0</v>
      </c>
      <c r="K21" s="969">
        <f t="shared" si="7"/>
        <v>0</v>
      </c>
      <c r="L21" s="1028">
        <f t="shared" si="7"/>
        <v>0</v>
      </c>
      <c r="M21" s="1028">
        <f t="shared" si="7"/>
        <v>0</v>
      </c>
      <c r="N21" s="1028">
        <f t="shared" si="7"/>
        <v>123</v>
      </c>
      <c r="O21" s="1028">
        <f t="shared" si="7"/>
        <v>0</v>
      </c>
      <c r="P21" s="1028">
        <f t="shared" si="7"/>
        <v>0</v>
      </c>
      <c r="Q21" s="969">
        <f t="shared" si="7"/>
        <v>426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3601</v>
      </c>
      <c r="AC21" s="968">
        <f t="shared" si="8"/>
        <v>419</v>
      </c>
      <c r="AD21" s="968">
        <f t="shared" si="8"/>
        <v>0</v>
      </c>
      <c r="AE21" s="968">
        <f t="shared" si="8"/>
        <v>0</v>
      </c>
      <c r="AF21" s="975">
        <f t="shared" si="8"/>
        <v>1805</v>
      </c>
      <c r="AG21" s="975">
        <f t="shared" si="8"/>
        <v>0</v>
      </c>
      <c r="AH21" s="975">
        <f t="shared" si="8"/>
        <v>174</v>
      </c>
      <c r="AI21" s="975">
        <f t="shared" si="8"/>
        <v>0</v>
      </c>
      <c r="AJ21" s="968">
        <f t="shared" si="8"/>
        <v>0</v>
      </c>
      <c r="AK21" s="975">
        <f t="shared" si="8"/>
        <v>0</v>
      </c>
      <c r="AL21" s="975">
        <f t="shared" si="8"/>
        <v>0</v>
      </c>
      <c r="AM21" s="975">
        <f t="shared" si="8"/>
        <v>7926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725</v>
      </c>
      <c r="BD21" s="967">
        <f t="shared" si="8"/>
        <v>3836</v>
      </c>
      <c r="BE21" s="967">
        <f t="shared" si="8"/>
        <v>0</v>
      </c>
      <c r="BF21" s="977">
        <f t="shared" si="8"/>
        <v>0</v>
      </c>
      <c r="BG21" s="1062">
        <f>IF(ISNUMBER(Datos!K21/Datos!J21),Datos!K21/Datos!J21," - ")</f>
        <v>0.82264988897113245</v>
      </c>
      <c r="BH21" s="1062">
        <f>IF(ISNUMBER(((Datos!L21/Datos!K21)*11)/factor_trimestre),((Datos!L21/Datos!K21)*11)/factor_trimestre," - ")</f>
        <v>4.3070001799532127</v>
      </c>
      <c r="BI21" s="960">
        <f>IF(ISNUMBER(Datos!J21/Datos!I21),Datos!J21/Datos!I21," - ")</f>
        <v>1.0029695619896066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-2.2733585858585861</v>
      </c>
      <c r="BM21" s="1036">
        <f>IF(ISNUMBER((Datos!P21-Datos!Q21+R21)/(Datos!R21-Datos!P21+Datos!Q21-R21)),(Datos!P21-Datos!Q21+R21)/(Datos!R21-Datos!P21+Datos!Q21-R21)," - ")</f>
        <v>8.8394999368607145E-4</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550.33333333333337</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2.2922795323750234</v>
      </c>
      <c r="F23" s="600">
        <f>IF(ISNUMBER(STDEV(F8:F20)),STDEV(F8:F20),"-")</f>
        <v>857.10431103804399</v>
      </c>
      <c r="G23" s="601">
        <f>IF(ISNUMBER(STDEV(G8:G20)),STDEV(G8:G20),"-")</f>
        <v>803.52564779642637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1780.4633853765897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186.12572555744603</v>
      </c>
      <c r="BD23" s="600"/>
      <c r="BE23" s="600">
        <f>IF(ISNUMBER(STDEV(BE8:BE20)),STDEV(BE8:BE20),"-")</f>
        <v>0</v>
      </c>
      <c r="BF23" s="605">
        <f>IF(ISNUMBER(STDEV(BF8:BF20)),STDEV(BF8:BF20),"-")</f>
        <v>0</v>
      </c>
      <c r="BG23" s="915">
        <f>IF(ISNUMBER(STDEV(BG8:BG20)),STDEV(BG8:BG20),"-")</f>
        <v>0.18144031008916156</v>
      </c>
      <c r="BH23" s="919">
        <f>IF(ISNUMBER(STDEV(BH8:BH20)),STDEV(BH8:BH20),"-")</f>
        <v>3.9563171884288484</v>
      </c>
      <c r="BI23" s="254">
        <f>IF(ISNUMBER(STDEV(BI8:BI20)),STDEV(BI8:BI20),"-")</f>
        <v>0.12268319603035398</v>
      </c>
      <c r="BJ23" s="235" t="str">
        <f>IF(ISNUMBER(BL23/BM23),BL23/BM23," - ")</f>
        <v xml:space="preserve"> - </v>
      </c>
      <c r="BK23" s="627"/>
      <c r="BL23" s="608">
        <f>IF(ISNUMBER(STDEV(BL8:BL20)),STDEV(BL8:BL20),"-")</f>
        <v>0.12901439682170313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Ds0qDI0s3UiKwd5Ayyf1JGm21PpjlX3xhZmnyQNLsdEcbhTj4jAzEkeBrXrhFUVvyyYYxNrxu4i6vFEutRtArA==" saltValue="eaXIGE+NNCultrqGUEQE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CANARIAS</v>
      </c>
    </row>
    <row r="2" spans="1:73" ht="16.5" customHeight="1">
      <c r="C2" s="575" t="str">
        <f>Criterios!A10 &amp;"  "&amp;Criterios!B10 &amp; "  " &amp; IF(NOT(ISBLANK(Criterios!A11)),Criterios!A11 &amp;"  "&amp;Criterios!B11,"")</f>
        <v>Provincias  LAS PALMAS  Resumenes por Partidos Judiciales  ARRECIFE</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613</v>
      </c>
      <c r="F5" s="1671" t="s">
        <v>448</v>
      </c>
      <c r="G5" s="1660" t="s">
        <v>141</v>
      </c>
      <c r="H5" s="1660" t="s">
        <v>643</v>
      </c>
      <c r="I5" s="1660" t="s">
        <v>614</v>
      </c>
      <c r="J5" s="1660" t="s">
        <v>742</v>
      </c>
      <c r="K5" s="1660" t="s">
        <v>615</v>
      </c>
      <c r="L5" s="1660" t="s">
        <v>641</v>
      </c>
      <c r="M5" s="1660" t="s">
        <v>743</v>
      </c>
      <c r="N5" s="1660" t="s">
        <v>640</v>
      </c>
      <c r="O5" s="1660" t="s">
        <v>668</v>
      </c>
      <c r="P5" s="1666" t="s">
        <v>735</v>
      </c>
      <c r="Q5" s="1666" t="s">
        <v>737</v>
      </c>
      <c r="R5" s="1660" t="s">
        <v>647</v>
      </c>
      <c r="S5" s="1660" t="s">
        <v>616</v>
      </c>
      <c r="T5" s="1660" t="s">
        <v>834</v>
      </c>
      <c r="U5" s="1660" t="s">
        <v>835</v>
      </c>
      <c r="V5" s="1680" t="s">
        <v>726</v>
      </c>
      <c r="W5" s="1677" t="s">
        <v>629</v>
      </c>
      <c r="X5" s="1695" t="s">
        <v>630</v>
      </c>
      <c r="Y5" s="1698" t="s">
        <v>648</v>
      </c>
      <c r="Z5" s="1698" t="s">
        <v>669</v>
      </c>
      <c r="AA5" s="1660" t="s">
        <v>620</v>
      </c>
      <c r="AB5" s="1660" t="s">
        <v>631</v>
      </c>
      <c r="AC5" s="1660" t="s">
        <v>632</v>
      </c>
      <c r="AD5" s="1660" t="s">
        <v>586</v>
      </c>
      <c r="AE5" s="1660" t="s">
        <v>744</v>
      </c>
      <c r="AF5" s="1660" t="s">
        <v>204</v>
      </c>
      <c r="AG5" s="1660" t="s">
        <v>633</v>
      </c>
      <c r="AH5" s="1660" t="s">
        <v>621</v>
      </c>
      <c r="AI5" s="1660" t="s">
        <v>622</v>
      </c>
      <c r="AJ5" s="1660" t="s">
        <v>634</v>
      </c>
      <c r="AK5" s="1660" t="s">
        <v>635</v>
      </c>
      <c r="AL5" s="1660" t="s">
        <v>636</v>
      </c>
      <c r="AM5" s="1692" t="s">
        <v>637</v>
      </c>
      <c r="AN5" s="1660" t="s">
        <v>276</v>
      </c>
      <c r="AO5" s="1660" t="s">
        <v>624</v>
      </c>
      <c r="AP5" s="1660" t="s">
        <v>625</v>
      </c>
      <c r="AQ5" s="1660" t="s">
        <v>649</v>
      </c>
      <c r="AR5" s="1660" t="s">
        <v>650</v>
      </c>
      <c r="AS5" s="1660" t="s">
        <v>652</v>
      </c>
      <c r="AT5" s="1660" t="s">
        <v>645</v>
      </c>
      <c r="AU5" s="1660" t="s">
        <v>907</v>
      </c>
      <c r="AV5" s="1660" t="s">
        <v>370</v>
      </c>
      <c r="AW5" s="1660" t="s">
        <v>638</v>
      </c>
      <c r="AX5" s="1660" t="s">
        <v>591</v>
      </c>
      <c r="BU5" s="1660" t="s">
        <v>836</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651</v>
      </c>
      <c r="B9" s="653" t="s">
        <v>273</v>
      </c>
      <c r="C9" s="671" t="str">
        <f>Datos!A9</f>
        <v xml:space="preserve">Jdos. 1ª Instancia   </v>
      </c>
      <c r="D9" s="544"/>
      <c r="E9" s="1337">
        <f>IF(ISNUMBER(Datos!AQ9),Datos!AQ9," - ")</f>
        <v>5</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353</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329</v>
      </c>
      <c r="AA9" s="506" t="str">
        <f>IF(ISNUMBER(IF(J_V="SI",Datos!L9,Datos!L9+Datos!AB9)-IF(Monitorios="SI",Datos!CD9,0)),
                          IF(J_V="SI",Datos!L9,Datos!L9+Datos!AB9)-IF(Monitorios="SI",Datos!CD9,0),
                          " - ")</f>
        <v xml:space="preserve"> - </v>
      </c>
      <c r="AB9" s="504"/>
      <c r="AC9" s="504"/>
      <c r="AD9" s="517"/>
      <c r="AE9" s="517">
        <f>IF(ISNUMBER(Datos!R9),Datos!R9," - ")</f>
        <v>6824</v>
      </c>
      <c r="AF9" s="620" t="str">
        <f>IF(ISNUMBER(Datos!BV9),Datos!BV9," - ")</f>
        <v xml:space="preserve"> - </v>
      </c>
      <c r="AG9" s="507" t="str">
        <f>IF(ISNUMBER(Datos!DV9),Datos!DV9," - ")</f>
        <v xml:space="preserve"> - </v>
      </c>
      <c r="AH9" s="508"/>
      <c r="AI9" s="509"/>
      <c r="AJ9" s="507">
        <f>IF(ISNUMBER(Datos!M9),Datos!M9," - ")</f>
        <v>287</v>
      </c>
      <c r="AK9" s="620">
        <f>IF(ISNUMBER(Datos!N9),Datos!N9," - ")</f>
        <v>1298</v>
      </c>
      <c r="AL9" s="620" t="str">
        <f>IF(ISNUMBER(Datos!BW9),Datos!BW9," - ")</f>
        <v xml:space="preserve"> - </v>
      </c>
      <c r="AM9" s="668" t="str">
        <f>IF(ISNUMBER(Datos!BX9),Datos!BX9," - ")</f>
        <v xml:space="preserve"> - </v>
      </c>
      <c r="AN9" s="669"/>
      <c r="AO9" s="670">
        <f>IF(ISNUMBER(((NºAsuntos!I9/NºAsuntos!G9)*11)/factor_trimestre),((NºAsuntos!I9/NºAsuntos!G9)*11)/factor_trimestre," - ")</f>
        <v>9.13531669865643</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3.5294117647058825E-3</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11</v>
      </c>
      <c r="G10" s="507">
        <f>IF(ISNUMBER(Datos!I10),Datos!I10," - ")</f>
        <v>11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7</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27</v>
      </c>
      <c r="Z10" s="704">
        <f>IF(ISNUMBER(Datos!Q10),Datos!Q10," - ")</f>
        <v>2</v>
      </c>
      <c r="AA10" s="506">
        <f>IF(ISNUMBER(Datos!L10),Datos!L10,"-")</f>
        <v>13</v>
      </c>
      <c r="AB10" s="504"/>
      <c r="AC10" s="504"/>
      <c r="AD10" s="517"/>
      <c r="AE10" s="517">
        <f>IF(ISNUMBER(Datos!R10),Datos!R10," - ")</f>
        <v>26</v>
      </c>
      <c r="AF10" s="620" t="str">
        <f>IF(ISNUMBER(Datos!BV10),Datos!BV10," - ")</f>
        <v xml:space="preserve"> - </v>
      </c>
      <c r="AG10" s="507" t="str">
        <f>IF(ISNUMBER(Datos!DV10),Datos!DV10," - ")</f>
        <v xml:space="preserve"> - </v>
      </c>
      <c r="AH10" s="508"/>
      <c r="AI10" s="509"/>
      <c r="AJ10" s="507">
        <f>IF(ISNUMBER(Datos!M10),Datos!M10," - ")</f>
        <v>10</v>
      </c>
      <c r="AK10" s="620">
        <f>IF(ISNUMBER(Datos!N10),Datos!N10," - ")</f>
        <v>12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1.4444444444444444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0.23809523809523808</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12</v>
      </c>
      <c r="AA12" s="506" t="str">
        <f>IF(ISNUMBER(IF(J_V="SI",Datos!L12,Datos!L12+Datos!AB12)-IF(Monitorios="SI",Datos!CD12,0)),
                          IF(J_V="SI",Datos!L12,Datos!L12+Datos!AB12)-IF(Monitorios="SI",Datos!CD12,0),
                          " - ")</f>
        <v xml:space="preserve"> - </v>
      </c>
      <c r="AB12" s="504"/>
      <c r="AC12" s="504"/>
      <c r="AD12" s="517"/>
      <c r="AE12" s="517">
        <f>IF(ISNUMBER(Datos!R12),Datos!R12," - ")</f>
        <v>658</v>
      </c>
      <c r="AF12" s="620" t="str">
        <f>IF(ISNUMBER(Datos!BV12),Datos!BV12," - ")</f>
        <v xml:space="preserve"> - </v>
      </c>
      <c r="AG12" s="507" t="str">
        <f>IF(ISNUMBER(Datos!DV12),Datos!DV12," - ")</f>
        <v xml:space="preserve"> - </v>
      </c>
      <c r="AH12" s="508"/>
      <c r="AI12" s="509"/>
      <c r="AJ12" s="507">
        <f>IF(ISNUMBER(Datos!M12),Datos!M12," - ")</f>
        <v>0</v>
      </c>
      <c r="AK12" s="620">
        <f>IF(ISNUMBER(Datos!N12),Datos!N12," - ")</f>
        <v>0</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-4.5385779122541605E-3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11</v>
      </c>
      <c r="G14" s="1045">
        <f>SUBTOTAL(9,G8:G13)</f>
        <v>11</v>
      </c>
      <c r="H14" s="1055"/>
      <c r="I14" s="1045">
        <f t="shared" ref="I14:N14" si="1">SUBTOTAL(9,I8:I13)</f>
        <v>0</v>
      </c>
      <c r="J14" s="1014">
        <f t="shared" si="1"/>
        <v>0</v>
      </c>
      <c r="K14" s="1055">
        <f t="shared" si="1"/>
        <v>0</v>
      </c>
      <c r="L14" s="1055">
        <f t="shared" si="1"/>
        <v>0</v>
      </c>
      <c r="M14" s="1055">
        <f t="shared" si="1"/>
        <v>0</v>
      </c>
      <c r="N14" s="1055">
        <f t="shared" si="1"/>
        <v>369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27</v>
      </c>
      <c r="Z14" s="1054">
        <f t="shared" si="3"/>
        <v>343</v>
      </c>
      <c r="AA14" s="1047">
        <f t="shared" si="3"/>
        <v>13</v>
      </c>
      <c r="AB14" s="1047">
        <f t="shared" si="3"/>
        <v>0</v>
      </c>
      <c r="AC14" s="1047">
        <f t="shared" si="3"/>
        <v>0</v>
      </c>
      <c r="AD14" s="1047">
        <f t="shared" si="3"/>
        <v>0</v>
      </c>
      <c r="AE14" s="1047">
        <f t="shared" si="3"/>
        <v>7508</v>
      </c>
      <c r="AF14" s="1055">
        <f t="shared" si="3"/>
        <v>0</v>
      </c>
      <c r="AG14" s="1055">
        <f t="shared" si="3"/>
        <v>0</v>
      </c>
      <c r="AH14" s="1055">
        <f t="shared" si="3"/>
        <v>0</v>
      </c>
      <c r="AI14" s="1055">
        <f t="shared" si="3"/>
        <v>0</v>
      </c>
      <c r="AJ14" s="1055">
        <f t="shared" si="3"/>
        <v>297</v>
      </c>
      <c r="AK14" s="1055">
        <f t="shared" si="3"/>
        <v>1310</v>
      </c>
      <c r="AL14" s="1055">
        <f t="shared" si="3"/>
        <v>0</v>
      </c>
      <c r="AM14" s="1055">
        <f t="shared" si="3"/>
        <v>0</v>
      </c>
      <c r="AN14" s="1055">
        <f t="shared" si="3"/>
        <v>0</v>
      </c>
      <c r="AO14" s="1051">
        <f>IF(ISNUMBER(((NºAsuntos!I14/NºAsuntos!G14)*11)/factor_trimestre),((NºAsuntos!I14/NºAsuntos!G14)*11)/factor_trimestre," - ")</f>
        <v>9.0383704405495031</v>
      </c>
      <c r="AP14" s="1057" t="str">
        <f>IF(ISNUMBER(Datos!CI14/Datos!CJ14),Datos!CI14/Datos!CJ14," - ")</f>
        <v xml:space="preserve"> - </v>
      </c>
      <c r="AQ14" s="1075">
        <f t="shared" ref="AQ14:AV14" si="4">SUBTOTAL(9,AQ9:AQ13)</f>
        <v>0</v>
      </c>
      <c r="AR14" s="1075">
        <f t="shared" si="4"/>
        <v>0.23708607194768982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4</v>
      </c>
      <c r="B16" s="654" t="s">
        <v>437</v>
      </c>
      <c r="C16" s="671" t="str">
        <f>Datos!A16</f>
        <v xml:space="preserve">Jdos. Instrucción                               </v>
      </c>
      <c r="D16" s="544"/>
      <c r="E16" s="1337">
        <f>IF(ISNUMBER(Datos!AQ16),Datos!AQ16," - ")</f>
        <v>4</v>
      </c>
      <c r="F16" s="498">
        <f>IF(ISNUMBER(AA16+Y16-Datos!J16-K16),AA16+Y16-Datos!J16-K16," - ")</f>
        <v>1572</v>
      </c>
      <c r="G16" s="507">
        <f>IF(ISNUMBER(IF(D_I="SI",Datos!I16,Datos!I16+Datos!AC16)),IF(D_I="SI",Datos!I16,Datos!I16+Datos!AC16)," - ")</f>
        <v>1531</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57</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3420</v>
      </c>
      <c r="Z16" s="704">
        <f>IF(ISNUMBER(Datos!Q16),Datos!Q16," - ")</f>
        <v>73</v>
      </c>
      <c r="AA16" s="506">
        <f>IF(ISNUMBER(IF(D_I="SI",Datos!L16,Datos!L16+Datos!AF16)),IF(D_I="SI",Datos!L16,Datos!L16+Datos!AF16)," - ")</f>
        <v>1691</v>
      </c>
      <c r="AB16" s="504"/>
      <c r="AC16" s="504"/>
      <c r="AD16" s="517"/>
      <c r="AE16" s="517">
        <f>IF(ISNUMBER(Datos!R16),Datos!R16," - ")</f>
        <v>385</v>
      </c>
      <c r="AF16" s="620" t="str">
        <f>IF(ISNUMBER(Datos!BV16),Datos!BV16," - ")</f>
        <v xml:space="preserve"> - </v>
      </c>
      <c r="AG16" s="507"/>
      <c r="AH16" s="508"/>
      <c r="AI16" s="509"/>
      <c r="AJ16" s="507">
        <f>IF(ISNUMBER(Datos!M16),Datos!M16," - ")</f>
        <v>387</v>
      </c>
      <c r="AK16" s="620">
        <f>IF(ISNUMBER(Datos!N16),Datos!N16," - ")</f>
        <v>2442</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1.4833333333333334</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f>IF(ISNUMBER(AA17+Y17-Datos!J17-K16),AA17+Y17-Datos!J17-K16," - ")</f>
        <v>1</v>
      </c>
      <c r="G17" s="507">
        <f>IF(ISNUMBER(IF(D_I="SI",Datos!I17,Datos!I17+Datos!AC17)),IF(D_I="SI",Datos!I17,Datos!I17+Datos!AC17)," - ")</f>
        <v>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0</v>
      </c>
      <c r="Z17" s="704">
        <f>IF(ISNUMBER(Datos!Q17),Datos!Q17," - ")</f>
        <v>0</v>
      </c>
      <c r="AA17" s="506">
        <f>IF(ISNUMBER(IF(D_I="SI",Datos!L17,Datos!L17+Datos!AF17)),IF(D_I="SI",Datos!L17,Datos!L17+Datos!AF17)," - ")</f>
        <v>1</v>
      </c>
      <c r="AB17" s="504"/>
      <c r="AC17" s="504"/>
      <c r="AD17" s="517"/>
      <c r="AE17" s="517">
        <f>IF(ISNUMBER(Datos!R17),Datos!R17," - ")</f>
        <v>0</v>
      </c>
      <c r="AF17" s="620" t="str">
        <f>IF(ISNUMBER(Datos!BV17),Datos!BV17," - ")</f>
        <v xml:space="preserve"> - </v>
      </c>
      <c r="AG17" s="507"/>
      <c r="AH17" s="508"/>
      <c r="AI17" s="509"/>
      <c r="AJ17" s="507">
        <f>IF(ISNUMBER(Datos!M17),Datos!M17," - ")</f>
        <v>0</v>
      </c>
      <c r="AK17" s="620">
        <f>IF(ISNUMBER(Datos!N17),Datos!N17," - ")</f>
        <v>0</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108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154</v>
      </c>
      <c r="Z18" s="704">
        <f>IF(ISNUMBER(Datos!Q18),Datos!Q18," - ")</f>
        <v>3</v>
      </c>
      <c r="AA18" s="506">
        <f>IF(ISNUMBER(Datos!L18),Datos!L18,"-")</f>
        <v>100</v>
      </c>
      <c r="AB18" s="504"/>
      <c r="AC18" s="504"/>
      <c r="AD18" s="517"/>
      <c r="AE18" s="517">
        <f>IF(ISNUMBER(Datos!R18),Datos!R18," - ")</f>
        <v>33</v>
      </c>
      <c r="AF18" s="620" t="str">
        <f>IF(ISNUMBER(Datos!BV18),Datos!BV18," - ")</f>
        <v xml:space="preserve"> - </v>
      </c>
      <c r="AG18" s="507" t="str">
        <f>IF(ISNUMBER(Datos!DV18),Datos!DV18," - ")</f>
        <v xml:space="preserve"> - </v>
      </c>
      <c r="AH18" s="508"/>
      <c r="AI18" s="509"/>
      <c r="AJ18" s="507">
        <f>IF(ISNUMBER(Datos!M18),Datos!M18," - ")</f>
        <v>41</v>
      </c>
      <c r="AK18" s="620">
        <f>IF(ISNUMBER(Datos!N18),Datos!N18," - ")</f>
        <v>84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1.948051948051948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1573</v>
      </c>
      <c r="G20" s="1045">
        <f>SUBTOTAL(9,G16:G19)</f>
        <v>1640</v>
      </c>
      <c r="H20" s="1079">
        <f>SUBTOTAL(9,H16:H19)</f>
        <v>0</v>
      </c>
      <c r="I20" s="1058">
        <f>SUBTOTAL(9,I16:I19)</f>
        <v>0</v>
      </c>
      <c r="J20" s="1014">
        <f>SUBTOTAL(9,J15:J19)</f>
        <v>0</v>
      </c>
      <c r="K20" s="1079">
        <f t="shared" ref="K20:S20" si="5">SUBTOTAL(9,K16:K19)</f>
        <v>0</v>
      </c>
      <c r="L20" s="1079">
        <f t="shared" si="5"/>
        <v>0</v>
      </c>
      <c r="M20" s="1079">
        <f t="shared" si="5"/>
        <v>0</v>
      </c>
      <c r="N20" s="1079">
        <f t="shared" si="5"/>
        <v>57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3574</v>
      </c>
      <c r="Z20" s="1079">
        <f t="shared" si="6"/>
        <v>76</v>
      </c>
      <c r="AA20" s="1079">
        <f t="shared" si="6"/>
        <v>1792</v>
      </c>
      <c r="AB20" s="1079">
        <f t="shared" si="6"/>
        <v>0</v>
      </c>
      <c r="AC20" s="1079">
        <f t="shared" si="6"/>
        <v>0</v>
      </c>
      <c r="AD20" s="1079">
        <f t="shared" si="6"/>
        <v>0</v>
      </c>
      <c r="AE20" s="1079">
        <f t="shared" si="6"/>
        <v>418</v>
      </c>
      <c r="AF20" s="1079">
        <f t="shared" si="6"/>
        <v>0</v>
      </c>
      <c r="AG20" s="1079">
        <f t="shared" si="6"/>
        <v>0</v>
      </c>
      <c r="AH20" s="1079">
        <f t="shared" si="6"/>
        <v>0</v>
      </c>
      <c r="AI20" s="1079">
        <f t="shared" si="6"/>
        <v>0</v>
      </c>
      <c r="AJ20" s="1079">
        <f t="shared" si="6"/>
        <v>428</v>
      </c>
      <c r="AK20" s="1079">
        <f t="shared" si="6"/>
        <v>2526</v>
      </c>
      <c r="AL20" s="1079">
        <f t="shared" si="6"/>
        <v>0</v>
      </c>
      <c r="AM20" s="1079">
        <f t="shared" si="6"/>
        <v>0</v>
      </c>
      <c r="AN20" s="1079">
        <f t="shared" si="6"/>
        <v>0</v>
      </c>
      <c r="AO20" s="1081">
        <f>IF(ISNUMBER(((NºAsuntos!I20/NºAsuntos!G20)*11)/factor_trimestre),((NºAsuntos!I20/NºAsuntos!G20)*11)/factor_trimestre," - ")</f>
        <v>1.5041969781757134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9</v>
      </c>
      <c r="F21" s="967">
        <f t="shared" si="8"/>
        <v>1584</v>
      </c>
      <c r="G21" s="967">
        <f t="shared" si="8"/>
        <v>1651</v>
      </c>
      <c r="H21" s="968">
        <f t="shared" si="8"/>
        <v>0</v>
      </c>
      <c r="I21" s="967">
        <f t="shared" si="8"/>
        <v>0</v>
      </c>
      <c r="J21" s="969">
        <f t="shared" si="8"/>
        <v>0</v>
      </c>
      <c r="K21" s="967">
        <f t="shared" si="8"/>
        <v>0</v>
      </c>
      <c r="L21" s="970">
        <f t="shared" si="8"/>
        <v>0</v>
      </c>
      <c r="M21" s="967">
        <f t="shared" si="8"/>
        <v>0</v>
      </c>
      <c r="N21" s="968">
        <f t="shared" si="8"/>
        <v>426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3601</v>
      </c>
      <c r="Z21" s="974">
        <f t="shared" si="9"/>
        <v>419</v>
      </c>
      <c r="AA21" s="975">
        <f t="shared" si="9"/>
        <v>1805</v>
      </c>
      <c r="AB21" s="975">
        <f t="shared" si="9"/>
        <v>0</v>
      </c>
      <c r="AC21" s="975">
        <f t="shared" si="9"/>
        <v>0</v>
      </c>
      <c r="AD21" s="976">
        <f t="shared" si="9"/>
        <v>0</v>
      </c>
      <c r="AE21" s="976">
        <f t="shared" si="9"/>
        <v>7926</v>
      </c>
      <c r="AF21" s="977">
        <f t="shared" si="9"/>
        <v>0</v>
      </c>
      <c r="AG21" s="978">
        <f t="shared" si="9"/>
        <v>0</v>
      </c>
      <c r="AH21" s="979">
        <f t="shared" si="9"/>
        <v>0</v>
      </c>
      <c r="AI21" s="977">
        <f t="shared" si="9"/>
        <v>0</v>
      </c>
      <c r="AJ21" s="967">
        <f t="shared" si="9"/>
        <v>725</v>
      </c>
      <c r="AK21" s="967">
        <f t="shared" si="9"/>
        <v>3836</v>
      </c>
      <c r="AL21" s="967">
        <f t="shared" si="9"/>
        <v>0</v>
      </c>
      <c r="AM21" s="980">
        <f t="shared" si="9"/>
        <v>0</v>
      </c>
      <c r="AN21" s="970">
        <f>IF(ISNUMBER(Datos!K21/Datos!J21),Datos!K21/Datos!J21," - ")</f>
        <v>0.82264988897113245</v>
      </c>
      <c r="AO21" s="970">
        <f>IF(ISNUMBER(FIND("06",Criterios!A8,1)),(IF(ISNUMBER(((Datos!R21/Datos!Q21)*11)/factor_trimestre),((Datos!R21/Datos!Q21)*11)/factor_trimestre," - ")),(IF(ISNUMBER(((Datos!L21/Datos!K21)*11)/factor_trimestre),((Datos!L21/Datos!K21)*11)/factor_trimestre," - ")))</f>
        <v>4.3070001799532127</v>
      </c>
      <c r="AP21" s="981" t="str">
        <f>IF(ISNUMBER(Datos!CI21/Datos!CJ21),Datos!CI21/Datos!CJ21," - ")</f>
        <v xml:space="preserve"> - </v>
      </c>
      <c r="AQ21" s="981">
        <f>IF(OR(ISNUMBER(FIND("01",Criterios!A8,1)),ISNUMBER(FIND("02",Criterios!A8,1)),ISNUMBER(FIND("03",Criterios!A8,1)),ISNUMBER(FIND("04",Criterios!A8,1))),(J21-Y21+K21)/(F21-K21),(I21-Y21+K21)/(F21-K21))</f>
        <v>-2.2733585858585861</v>
      </c>
      <c r="AR21" s="981">
        <f>IF(ISNUMBER((Datos!P21-Datos!Q21+O21)/(Datos!R21-Datos!P21+Datos!Q21-O21)),(Datos!P21-Datos!Q21+O21)/(Datos!R21-Datos!P21+Datos!Q21-O21)," - ")</f>
        <v>8.8394999368607145E-4</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550.33333333333337</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857.10431103804399</v>
      </c>
      <c r="G23" s="601">
        <f>IF(ISNUMBER(STDEV(G8:G20)),STDEV(G8:G20),"-")</f>
        <v>803.52564779642637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186.12572555744603</v>
      </c>
      <c r="AK23" s="257"/>
      <c r="AL23" s="257">
        <f>IF(ISNUMBER(STDEV(AL8:AL20)),STDEV(AL8:AL20),"-")</f>
        <v>0</v>
      </c>
      <c r="AM23" s="259">
        <f>IF(ISNUMBER(STDEV(AM8:AM20)),STDEV(AM8:AM20),"-")</f>
        <v>0</v>
      </c>
      <c r="AN23" s="587">
        <f>IF(ISNUMBER(STDEV(AN8:AN20)),STDEV(AN8:AN20),"-")</f>
        <v>0</v>
      </c>
      <c r="AO23" s="588">
        <f>IF(ISNUMBER(STDEV(AO8:AO20)),STDEV(AO8:AO20),"-")</f>
        <v>3.8732300033767997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ZOeWq7RhBk5QnQmjRqBYc9feaVQIpj3D7+s2UvsuPay+F1vHfe1C3LxxOzoeXhPrwPsxYAtD4Fd8/eyxL8+kHQ==" saltValue="lVs6aHXNrxrOhpDhZU6k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683</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684</v>
      </c>
      <c r="B4" s="1711" t="s">
        <v>792</v>
      </c>
      <c r="C4" s="1711" t="s">
        <v>685</v>
      </c>
      <c r="D4" s="1711" t="s">
        <v>750</v>
      </c>
      <c r="E4" s="1713" t="s">
        <v>751</v>
      </c>
      <c r="F4" s="1711" t="s">
        <v>686</v>
      </c>
      <c r="G4" s="1713" t="s">
        <v>504</v>
      </c>
      <c r="H4" s="1706" t="s">
        <v>687</v>
      </c>
      <c r="I4" s="1706" t="s">
        <v>688</v>
      </c>
      <c r="J4" s="1706" t="s">
        <v>689</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UsS5pQIye+a66SJqUJQSZ7l86tDX3K4dnKHXqRzJ5DzoLRibZpVBiqqq8nC5PgQf1H+T9LZNWvZA+/qbCSnoA==" saltValue="pI/IPs86CVYkYDp479Tn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815</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52" t="s">
        <v>811</v>
      </c>
      <c r="ER8" s="52" t="s">
        <v>816</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8QCbKcnR6VU32RHmVuZRiZ9prELybimSKWp+jUBQgHhiQmoAyEzwE4sQNzYdSbYMAhh/Pd5nnmj1hNOfWJn1Q==" saltValue="Z/ZkuSq0p95Pg4g17krn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CANARIAS</v>
      </c>
      <c r="F1" s="753"/>
    </row>
    <row r="2" spans="1:75" ht="16.5" customHeight="1">
      <c r="C2" s="521" t="str">
        <f>Criterios!A10 &amp;"  "&amp;Criterios!B10 &amp; "  " &amp; IF(NOT(ISBLANK(Criterios!A11)),Criterios!A11 &amp;"  "&amp;Criterios!B11,"")</f>
        <v>Provincias  LAS PALMAS  Resumenes por Partidos Judiciales  ARRECIFE</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615</v>
      </c>
      <c r="L5" s="1660" t="s">
        <v>583</v>
      </c>
      <c r="M5" s="1663" t="s">
        <v>641</v>
      </c>
      <c r="N5" s="1660" t="s">
        <v>778</v>
      </c>
      <c r="O5" s="1660" t="s">
        <v>738</v>
      </c>
      <c r="P5" s="1660" t="s">
        <v>190</v>
      </c>
      <c r="Q5" s="1666" t="s">
        <v>735</v>
      </c>
      <c r="R5" s="1666" t="s">
        <v>779</v>
      </c>
      <c r="S5" s="1660" t="s">
        <v>644</v>
      </c>
      <c r="T5" s="1666" t="s">
        <v>616</v>
      </c>
      <c r="U5" s="1666" t="s">
        <v>834</v>
      </c>
      <c r="V5" s="1666" t="s">
        <v>835</v>
      </c>
      <c r="W5" s="1677" t="s">
        <v>667</v>
      </c>
      <c r="X5" s="1695" t="s">
        <v>617</v>
      </c>
      <c r="Y5" s="1677" t="s">
        <v>618</v>
      </c>
      <c r="Z5" s="1677" t="s">
        <v>619</v>
      </c>
      <c r="AA5" s="1660" t="s">
        <v>739</v>
      </c>
      <c r="AB5" s="1660" t="s">
        <v>744</v>
      </c>
      <c r="AC5" s="1660" t="s">
        <v>204</v>
      </c>
      <c r="AD5" s="1683" t="s">
        <v>202</v>
      </c>
      <c r="AE5" s="1660" t="s">
        <v>740</v>
      </c>
      <c r="AF5" s="1686" t="s">
        <v>741</v>
      </c>
      <c r="AG5" s="1689" t="s">
        <v>592</v>
      </c>
      <c r="AH5" s="1660" t="s">
        <v>593</v>
      </c>
      <c r="AI5" s="1660" t="s">
        <v>665</v>
      </c>
      <c r="AJ5" s="1692" t="s">
        <v>666</v>
      </c>
      <c r="AK5" s="1689" t="s">
        <v>205</v>
      </c>
      <c r="AL5" s="1660" t="s">
        <v>623</v>
      </c>
      <c r="AM5" s="1660" t="s">
        <v>274</v>
      </c>
      <c r="AN5" s="1660" t="s">
        <v>275</v>
      </c>
      <c r="AO5" s="1660" t="s">
        <v>276</v>
      </c>
      <c r="AP5" s="1660" t="s">
        <v>624</v>
      </c>
      <c r="AQ5" s="1660" t="s">
        <v>277</v>
      </c>
      <c r="AR5" s="1660" t="s">
        <v>625</v>
      </c>
      <c r="AS5" s="1660" t="s">
        <v>626</v>
      </c>
      <c r="AT5" s="1660" t="s">
        <v>627</v>
      </c>
      <c r="AU5" s="1660" t="s">
        <v>652</v>
      </c>
      <c r="AV5" s="1660" t="s">
        <v>645</v>
      </c>
      <c r="AW5" s="1660" t="s">
        <v>907</v>
      </c>
      <c r="AX5" s="1660" t="s">
        <v>910</v>
      </c>
      <c r="AY5" s="1660" t="s">
        <v>912</v>
      </c>
      <c r="AZ5" s="1660" t="s">
        <v>646</v>
      </c>
      <c r="BA5" s="1660" t="s">
        <v>946</v>
      </c>
      <c r="BB5" s="1660" t="s">
        <v>628</v>
      </c>
      <c r="BC5" s="1660" t="s">
        <v>591</v>
      </c>
      <c r="BW5" s="1660" t="s">
        <v>836</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0.14069161534817623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9.9483995268784764E-2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WVZZU5P1ZEG0fOfIczmvVl5QdKV1WDflzgdVtuHso7JWzyngERgEzbFryVrGIVwPFFMPboinANRnOCdAc6QV3A==" saltValue="QMlgMroJmaJdUXiht/BN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884</v>
      </c>
    </row>
    <row r="3" spans="2:5" ht="16.5" customHeight="1" thickBot="1">
      <c r="B3" s="1305" t="s">
        <v>885</v>
      </c>
      <c r="C3" s="1305" t="s">
        <v>886</v>
      </c>
      <c r="D3" s="1305" t="s">
        <v>887</v>
      </c>
      <c r="E3" s="1313" t="s">
        <v>892</v>
      </c>
    </row>
  </sheetData>
  <sheetProtection algorithmName="SHA-512" hashValue="U+Xkllm3cGw0nGMeKWpeIbJI1CQlqsysVXbFE5XIHdBTB2z8B+b/uXqJBID8NGh+7KFZhNdqkeRfS6DacpFFjQ==" saltValue="BrJ4k04Woyc3jGagoFbe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CANARIAS</v>
      </c>
      <c r="C2" s="400"/>
      <c r="D2" s="400"/>
      <c r="E2" s="400"/>
      <c r="F2" s="400"/>
    </row>
    <row r="3" spans="1:14" ht="19.5">
      <c r="A3" s="402" t="s">
        <v>128</v>
      </c>
      <c r="B3" s="403" t="str">
        <f>Criterios!A10 &amp;"  "&amp;Criterios!B10</f>
        <v>Provincias  LAS PALMAS</v>
      </c>
      <c r="D3" s="400"/>
      <c r="E3" s="400"/>
      <c r="F3" s="400"/>
    </row>
    <row r="4" spans="1:14" ht="13.5" thickBot="1">
      <c r="A4" s="400"/>
      <c r="B4" s="403" t="str">
        <f>Criterios!A11 &amp;"  "&amp;Criterios!B11</f>
        <v>Resumenes por Partidos Judiciales  ARRECIFE</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809</v>
      </c>
      <c r="L5" s="1350" t="s">
        <v>858</v>
      </c>
      <c r="M5" s="1350" t="s">
        <v>934</v>
      </c>
      <c r="N5" s="1353" t="s">
        <v>808</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803</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5</v>
      </c>
      <c r="C9" s="415">
        <f>IF(ISNUMBER(IF(J_V="SI",Datos!I9,Datos!I9+Datos!Y9)),IF(J_V="SI",Datos!I9,Datos!I9+Datos!Y9)," - ")</f>
        <v>5262</v>
      </c>
      <c r="D9" s="416">
        <f>IF(ISNUMBER(C9/Datos!BH9),C9/Datos!BH9," - ")</f>
        <v>1052.4000000000001</v>
      </c>
      <c r="E9" s="415">
        <f>IF(ISNUMBER(IF(J_V="SI",Datos!J9,Datos!J9+Datos!Z9)),IF(J_V="SI",Datos!J9,Datos!J9+Datos!Z9)," - ")</f>
        <v>3168</v>
      </c>
      <c r="F9" s="416">
        <f>IF(ISNUMBER(E9/B9),E9/B9," - ")</f>
        <v>633.6</v>
      </c>
      <c r="G9" s="415">
        <f>IF(ISNUMBER(IF(J_V="SI",Datos!K9,Datos!K9+Datos!AA9)),IF(J_V="SI",Datos!K9,Datos!K9+Datos!AA9)," - ")</f>
        <v>2084</v>
      </c>
      <c r="H9" s="416">
        <f>IF(ISNUMBER(G9/B9),G9/B9," - ")</f>
        <v>416.8</v>
      </c>
      <c r="I9" s="415">
        <f>IF(ISNUMBER(IF(J_V="SI",Datos!L9,Datos!L9+Datos!AB9)),IF(J_V="SI",Datos!L9,Datos!L9+Datos!AB9)," - ")</f>
        <v>6346</v>
      </c>
      <c r="J9" s="416">
        <f>IF(ISNUMBER(I9/B9),I9/B9," - ")</f>
        <v>1269.2</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11</v>
      </c>
      <c r="D10" s="416">
        <f>IF(ISNUMBER(C10/Datos!BH10),C10/Datos!BH10," - ")</f>
        <v>11</v>
      </c>
      <c r="E10" s="415">
        <f>IF(ISNUMBER(Datos!J10),Datos!J10," - ")</f>
        <v>29</v>
      </c>
      <c r="F10" s="416">
        <f>IF(ISNUMBER(E10/B10),E10/B10," - ")</f>
        <v>29</v>
      </c>
      <c r="G10" s="415">
        <f>IF(ISNUMBER(Datos!K10),Datos!K10," - ")</f>
        <v>27</v>
      </c>
      <c r="H10" s="416">
        <f>IF(ISNUMBER(G10/B10),G10/B10," - ")</f>
        <v>27</v>
      </c>
      <c r="I10" s="415">
        <f>IF(ISNUMBER(Datos!L10),Datos!L10," - ")</f>
        <v>13</v>
      </c>
      <c r="J10" s="416">
        <f>IF(ISNUMBER(I10/B10),I10/B10," - ")</f>
        <v>13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f>IF(ISNUMBER(IF(J_V="SI",Datos!I12,Datos!I12+Datos!Y12)),IF(J_V="SI",Datos!I12,Datos!I12+Datos!Y12)," - ")</f>
        <v>1</v>
      </c>
      <c r="D12" s="416" t="str">
        <f>IF(ISNUMBER(C12/Datos!BH12),C12/Datos!BH12," - ")</f>
        <v xml:space="preserve"> - </v>
      </c>
      <c r="E12" s="415">
        <f>IF(ISNUMBER(IF(J_V="SI",Datos!J12,Datos!J12+Datos!Z12)),IF(J_V="SI",Datos!J12,Datos!J12+Datos!Z12)," - ")</f>
        <v>0</v>
      </c>
      <c r="F12" s="416" t="str">
        <f>IF(ISNUMBER(E12/B12),E12/B12," - ")</f>
        <v xml:space="preserve"> - </v>
      </c>
      <c r="G12" s="415">
        <f>IF(ISNUMBER(IF(J_V="SI",Datos!K12,Datos!K12+Datos!AA12)),IF(J_V="SI",Datos!K12,Datos!K12+Datos!AA12)," - ")</f>
        <v>0</v>
      </c>
      <c r="H12" s="416" t="str">
        <f>IF(ISNUMBER(G12/B12),G12/B12," - ")</f>
        <v xml:space="preserve"> - </v>
      </c>
      <c r="I12" s="415">
        <f>IF(ISNUMBER(IF(J_V="SI",Datos!L12,Datos!L12+Datos!AB12)),IF(J_V="SI",Datos!L12,Datos!L12+Datos!AB12)," - ")</f>
        <v>1</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5274</v>
      </c>
      <c r="D14" s="997" t="str">
        <f>IF(ISNUMBER(C14/Datos!BI14),C14/Datos!BI14," - ")</f>
        <v xml:space="preserve"> - </v>
      </c>
      <c r="E14" s="996">
        <f>SUBTOTAL(9,E8:E13)</f>
        <v>3197</v>
      </c>
      <c r="F14" s="997">
        <f>IF(ISNUMBER(E14/B14),E14/B14," - ")</f>
        <v>639.4</v>
      </c>
      <c r="G14" s="996">
        <f>SUBTOTAL(9,G8:G13)</f>
        <v>2111</v>
      </c>
      <c r="H14" s="997">
        <f>IF(ISNUMBER(G14/B14),G14/B14," - ")</f>
        <v>422.2</v>
      </c>
      <c r="I14" s="996">
        <f>SUBTOTAL(9,I8:I13)</f>
        <v>6360</v>
      </c>
      <c r="J14" s="997">
        <f>IF(ISNUMBER(I14/B14),I14/B14," - ")</f>
        <v>1272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4</v>
      </c>
      <c r="C16" s="415">
        <f>IF(ISNUMBER(IF(D_I="SI",Datos!I16,Datos!I16+Datos!AC16)),IF(D_I="SI",Datos!I16,Datos!I16+Datos!AC16)," - ")</f>
        <v>1531</v>
      </c>
      <c r="D16" s="416">
        <f>IF(ISNUMBER(C16/Datos!BH16),C16/Datos!BH16," - ")</f>
        <v>382.75</v>
      </c>
      <c r="E16" s="415">
        <f>IF(ISNUMBER(IF(D_I="SI",Datos!J16,Datos!J16+Datos!AD16)),IF(D_I="SI",Datos!J16,Datos!J16+Datos!AD16)," - ")</f>
        <v>3539</v>
      </c>
      <c r="F16" s="416">
        <f>IF(ISNUMBER(E16/B16),E16/B16," - ")</f>
        <v>884.75</v>
      </c>
      <c r="G16" s="415">
        <f>IF(ISNUMBER(IF(D_I="SI",Datos!K16,Datos!K16+Datos!AE16)),IF(D_I="SI",Datos!K16,Datos!K16+Datos!AE16)," - ")</f>
        <v>3420</v>
      </c>
      <c r="H16" s="416">
        <f>IF(ISNUMBER(G16/B16),G16/B16," - ")</f>
        <v>855</v>
      </c>
      <c r="I16" s="415">
        <f>IF(ISNUMBER(IF(D_I="SI",Datos!L16,Datos!L16+Datos!AF16)),IF(D_I="SI",Datos!L16,Datos!L16+Datos!AF16)," - ")</f>
        <v>1691</v>
      </c>
      <c r="J16" s="416">
        <f>IF(ISNUMBER(I16/B16),I16/B16," - ")</f>
        <v>422.75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f>IF(ISNUMBER(IF(D_I="SI",Datos!I17,Datos!I17+Datos!AC17)),IF(D_I="SI",Datos!I17,Datos!I17+Datos!AC17)," - ")</f>
        <v>1</v>
      </c>
      <c r="D17" s="416" t="str">
        <f>IF(ISNUMBER(C17/Datos!BH17),C17/Datos!BH17," - ")</f>
        <v xml:space="preserve"> - </v>
      </c>
      <c r="E17" s="415">
        <f>IF(ISNUMBER(IF(D_I="SI",Datos!J17,Datos!J17+Datos!AD17)),IF(D_I="SI",Datos!J17,Datos!J17+Datos!AD17)," - ")</f>
        <v>0</v>
      </c>
      <c r="F17" s="416" t="str">
        <f>IF(ISNUMBER(E17/B17),E17/B17," - ")</f>
        <v xml:space="preserve"> - </v>
      </c>
      <c r="G17" s="415">
        <f>IF(ISNUMBER(IF(D_I="SI",Datos!K17,Datos!K17+Datos!AE17)),IF(D_I="SI",Datos!K17,Datos!K17+Datos!AE17)," - ")</f>
        <v>0</v>
      </c>
      <c r="H17" s="416" t="str">
        <f>IF(ISNUMBER(G17/B17),G17/B17," - ")</f>
        <v xml:space="preserve"> - </v>
      </c>
      <c r="I17" s="415">
        <f>IF(ISNUMBER(IF(D_I="SI",Datos!L17,Datos!L17+Datos!AF17)),IF(D_I="SI",Datos!L17,Datos!L17+Datos!AF17)," - ")</f>
        <v>1</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108</v>
      </c>
      <c r="D18" s="416">
        <f>IF(ISNUMBER(C18/Datos!BH18),C18/Datos!BH18," - ")</f>
        <v>108</v>
      </c>
      <c r="E18" s="415">
        <f>IF(ISNUMBER(IF(D_I="SI",Datos!J18,Datos!J18+Datos!AD18)),IF(D_I="SI",Datos!J18,Datos!J18+Datos!AD18)," - ")</f>
        <v>142</v>
      </c>
      <c r="F18" s="416">
        <f>IF(ISNUMBER(E18/B18),E18/B18," - ")</f>
        <v>142</v>
      </c>
      <c r="G18" s="415">
        <f>IF(ISNUMBER(IF(D_I="SI",Datos!K18,Datos!K18+Datos!AE18)),IF(D_I="SI",Datos!K18,Datos!K18+Datos!AE18)," - ")</f>
        <v>154</v>
      </c>
      <c r="H18" s="416">
        <f>IF(ISNUMBER(G18/B18),G18/B18," - ")</f>
        <v>154</v>
      </c>
      <c r="I18" s="415">
        <f>IF(ISNUMBER(IF(D_I="SI",Datos!L18,Datos!L18+Datos!AF18)),IF(D_I="SI",Datos!L18,Datos!L18+Datos!AF18)," - ")</f>
        <v>100</v>
      </c>
      <c r="J18" s="416">
        <f>IF(ISNUMBER(I18/B18),I18/B18," - ")</f>
        <v>100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1640</v>
      </c>
      <c r="D20" s="997" t="str">
        <f>IF(ISNUMBER(C20/Datos!BI20),C20/Datos!BI20," - ")</f>
        <v xml:space="preserve"> - </v>
      </c>
      <c r="E20" s="996">
        <f>SUBTOTAL(9,E15:E19)</f>
        <v>3681</v>
      </c>
      <c r="F20" s="997">
        <f>IF(ISNUMBER(E20/B20),E20/B20," - ")</f>
        <v>920.25</v>
      </c>
      <c r="G20" s="996">
        <f>SUBTOTAL(9,G15:G19)</f>
        <v>3574</v>
      </c>
      <c r="H20" s="997">
        <f>IF(ISNUMBER(G20/B20),G20/B20," - ")</f>
        <v>893.5</v>
      </c>
      <c r="I20" s="996">
        <f>SUBTOTAL(9,I15:I19)</f>
        <v>1792</v>
      </c>
      <c r="J20" s="997">
        <f>IF(ISNUMBER(I20/B20),I20/B20," - ")</f>
        <v>448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9</v>
      </c>
      <c r="C21" s="941">
        <f>SUBTOTAL(9,C9:C20)</f>
        <v>6914</v>
      </c>
      <c r="D21" s="942" t="str">
        <f>IF(ISNUMBER(C21/Datos!BI21),C21/Datos!BI21," - ")</f>
        <v xml:space="preserve"> - </v>
      </c>
      <c r="E21" s="941">
        <f>SUBTOTAL(9,E9:E20)</f>
        <v>6878</v>
      </c>
      <c r="F21" s="942">
        <f>IF(ISNUMBER(E21/B21),E21/B21," - ")</f>
        <v>764.22222222222217</v>
      </c>
      <c r="G21" s="941">
        <f>SUBTOTAL(9,G9:G20)</f>
        <v>5685</v>
      </c>
      <c r="H21" s="942">
        <f>IF(ISNUMBER(G21/B21),G21/B21," - ")</f>
        <v>631.66666666666663</v>
      </c>
      <c r="I21" s="941">
        <f>SUBTOTAL(9,I9:I20)</f>
        <v>8152</v>
      </c>
      <c r="J21" s="942">
        <f>IF(ISNUMBER(I21/B21),I21/B21," - ")</f>
        <v>905.77777777777783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yxRO1PEV9Vx2avX+kqGeldEnmTPTWl1Yb9Lwry1uu6kdBfLne8/XKj7bQv6GvZ2aVOt27LS4Ukjy8EaZHXF77Q==" saltValue="eyiJFKQA845VXbWIC1OoC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CANARIAS</v>
      </c>
      <c r="F1" s="753"/>
      <c r="W1"/>
      <c r="X1"/>
      <c r="BE1" s="753"/>
    </row>
    <row r="2" spans="1:65" ht="16.5" customHeight="1">
      <c r="C2" s="521" t="str">
        <f>Criterios!A10 &amp;"  "&amp;Criterios!B10 &amp; "  " &amp; IF(NOT(ISBLANK(Criterios!A11)),Criterios!A11 &amp;"  "&amp;Criterios!B11,"")</f>
        <v>Provincias  LAS PALMAS  Resumenes por Partidos Judiciales  ARRECIFE</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613</v>
      </c>
      <c r="F5" s="1671" t="s">
        <v>448</v>
      </c>
      <c r="G5" s="1660" t="s">
        <v>141</v>
      </c>
      <c r="H5" s="1660" t="s">
        <v>752</v>
      </c>
      <c r="I5" s="1660" t="s">
        <v>753</v>
      </c>
      <c r="J5" s="1660" t="s">
        <v>756</v>
      </c>
      <c r="K5" s="1660" t="s">
        <v>757</v>
      </c>
      <c r="L5" s="1660" t="s">
        <v>641</v>
      </c>
      <c r="M5" s="1660" t="s">
        <v>778</v>
      </c>
      <c r="N5" s="1660" t="s">
        <v>758</v>
      </c>
      <c r="O5" s="1660" t="s">
        <v>754</v>
      </c>
      <c r="P5" s="1660" t="s">
        <v>190</v>
      </c>
      <c r="Q5" s="1660" t="s">
        <v>735</v>
      </c>
      <c r="R5" s="1660" t="s">
        <v>779</v>
      </c>
      <c r="S5" s="1660" t="str">
        <f>"Ingreso Computable 2003" &amp; IF(OR(EXACT(LEFT(boletin,2),"04"),EXACT(LEFT(boletin,2),"14"),EXACT(LEFT(boletin,2),"17"))," (Civil + Penal)","")</f>
        <v>Ingreso Computable 2003</v>
      </c>
      <c r="T5" s="1660" t="s">
        <v>755</v>
      </c>
      <c r="U5" s="1666" t="str">
        <f>"% Ingreso Computable 2003" &amp; IF(OR(EXACT(LEFT(boletin,2),"04"),EXACT(LEFT(boletin,2),"14"),EXACT(LEFT(boletin,2),"17"))," (Civil + Penal)","")</f>
        <v>% Ingreso Computable 2003</v>
      </c>
      <c r="V5" s="1666" t="s">
        <v>759</v>
      </c>
      <c r="W5" s="1660" t="s">
        <v>828</v>
      </c>
      <c r="X5" s="1660" t="s">
        <v>829</v>
      </c>
      <c r="Y5" s="1680" t="s">
        <v>726</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760</v>
      </c>
      <c r="AC5" s="1717" t="s">
        <v>761</v>
      </c>
      <c r="AD5" s="1717" t="s">
        <v>762</v>
      </c>
      <c r="AE5" s="1717" t="s">
        <v>763</v>
      </c>
      <c r="AF5" s="1660" t="s">
        <v>764</v>
      </c>
      <c r="AG5" s="1660" t="s">
        <v>765</v>
      </c>
      <c r="AH5" s="1660" t="s">
        <v>766</v>
      </c>
      <c r="AI5" s="1660" t="s">
        <v>767</v>
      </c>
      <c r="AJ5" s="1660" t="s">
        <v>204</v>
      </c>
      <c r="AK5" s="1689" t="s">
        <v>592</v>
      </c>
      <c r="AL5" s="1689" t="s">
        <v>205</v>
      </c>
      <c r="AM5" s="1660" t="s">
        <v>623</v>
      </c>
      <c r="AN5" s="1660" t="s">
        <v>274</v>
      </c>
      <c r="AO5" s="1660" t="s">
        <v>275</v>
      </c>
      <c r="AP5" s="1660" t="s">
        <v>768</v>
      </c>
      <c r="AQ5" s="1660" t="s">
        <v>769</v>
      </c>
      <c r="AR5" s="1660" t="s">
        <v>770</v>
      </c>
      <c r="AS5" s="1660" t="s">
        <v>771</v>
      </c>
      <c r="AT5" s="1660" t="s">
        <v>772</v>
      </c>
      <c r="AU5" s="1660" t="s">
        <v>773</v>
      </c>
      <c r="AV5" s="1660" t="s">
        <v>774</v>
      </c>
      <c r="AW5" s="1660" t="s">
        <v>775</v>
      </c>
      <c r="AX5" s="1660" t="s">
        <v>907</v>
      </c>
      <c r="AY5" s="1660" t="s">
        <v>910</v>
      </c>
      <c r="AZ5" s="1660" t="s">
        <v>776</v>
      </c>
      <c r="BA5" s="1660" t="s">
        <v>777</v>
      </c>
      <c r="BB5" s="1660" t="s">
        <v>591</v>
      </c>
      <c r="BC5" s="1486" t="s">
        <v>784</v>
      </c>
      <c r="BD5" s="1486" t="s">
        <v>785</v>
      </c>
      <c r="BE5" s="1671" t="s">
        <v>786</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5</v>
      </c>
      <c r="B9" s="653" t="s">
        <v>273</v>
      </c>
      <c r="C9" s="671" t="str">
        <f>Datos!A9</f>
        <v xml:space="preserve">Jdos. 1ª Instancia   </v>
      </c>
      <c r="D9" s="544"/>
      <c r="E9" s="801">
        <f>IF(ISNUMBER(Datos!AQ9),Datos!AQ9," - ")</f>
        <v>5</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11</v>
      </c>
      <c r="G10" s="803">
        <f>IF(ISNUMBER(Datos!I10),Datos!I10," - ")</f>
        <v>11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7</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27</v>
      </c>
      <c r="AC10" s="802" t="str">
        <f>IF(ISNUMBER(IF(D_I="SI",DatosP!K18,DatosP!K18+DatosP!AE18)),IF(D_I="SI",DatosP!K18,DatosP!K18+DatosP!AE18)," - ")</f>
        <v xml:space="preserve"> - </v>
      </c>
      <c r="AD10" s="804"/>
      <c r="AE10" s="804"/>
      <c r="AF10" s="807">
        <f>IF(ISNUMBER(Datos!L10),Datos!L10,"-")</f>
        <v>13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10</v>
      </c>
      <c r="AM10" s="811">
        <f>IF(ISNUMBER(Datos!N10+DatosP!N18),Datos!N10+DatosP!N18," - ")</f>
        <v>12</v>
      </c>
      <c r="AN10" s="811">
        <f>IF(ISNUMBER(Datos!BW10+DatosP!BW18),Datos!BW10+DatosP!BW18," - ")</f>
        <v>0</v>
      </c>
      <c r="AO10" s="812">
        <f>IF(ISNUMBER(Datos!BX10+DatosP!BX18),Datos!BX10+DatosP!BX18," - ")</f>
        <v>0</v>
      </c>
      <c r="AP10" s="814">
        <f>IF(ISNUMBER(((Datos!L10/Datos!K10)*11)/factor_trimestre),((Datos!L10/Datos!K10)*11)/factor_trimestre," - ")</f>
        <v>1.4444444444444444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9</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658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0</v>
      </c>
      <c r="AM12" s="811">
        <f>IF(ISNUMBER(Datos!N12+DatosP!N17),Datos!N12+DatosP!N17," - ")</f>
        <v>0</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-4.5385779122541605E-3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11</v>
      </c>
      <c r="G14" s="1085">
        <f t="shared" si="0"/>
        <v>11</v>
      </c>
      <c r="H14" s="1085">
        <f t="shared" si="0"/>
        <v>0</v>
      </c>
      <c r="I14" s="1087">
        <f t="shared" si="0"/>
        <v>0</v>
      </c>
      <c r="J14" s="1086">
        <f t="shared" si="0"/>
        <v>0</v>
      </c>
      <c r="K14" s="1086">
        <f t="shared" si="0"/>
        <v>0</v>
      </c>
      <c r="L14" s="1088">
        <f t="shared" si="0"/>
        <v>0</v>
      </c>
      <c r="M14" s="1088">
        <f t="shared" si="0"/>
        <v>0</v>
      </c>
      <c r="N14" s="1086">
        <f t="shared" si="0"/>
        <v>16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27</v>
      </c>
      <c r="AC14" s="1086">
        <f t="shared" si="1"/>
        <v>0</v>
      </c>
      <c r="AD14" s="1086">
        <f t="shared" si="1"/>
        <v>12</v>
      </c>
      <c r="AE14" s="1086">
        <f t="shared" si="1"/>
        <v>0</v>
      </c>
      <c r="AF14" s="1086">
        <f t="shared" si="1"/>
        <v>13</v>
      </c>
      <c r="AG14" s="1086">
        <f t="shared" si="1"/>
        <v>0</v>
      </c>
      <c r="AH14" s="1086">
        <f t="shared" si="1"/>
        <v>658</v>
      </c>
      <c r="AI14" s="1086">
        <f t="shared" si="1"/>
        <v>0</v>
      </c>
      <c r="AJ14" s="1086">
        <f t="shared" si="1"/>
        <v>0</v>
      </c>
      <c r="AK14" s="1086">
        <f t="shared" si="1"/>
        <v>0</v>
      </c>
      <c r="AL14" s="1086">
        <f t="shared" si="1"/>
        <v>10</v>
      </c>
      <c r="AM14" s="1086">
        <f t="shared" si="1"/>
        <v>12</v>
      </c>
      <c r="AN14" s="1086">
        <f t="shared" si="1"/>
        <v>0</v>
      </c>
      <c r="AO14" s="1086">
        <f t="shared" si="1"/>
        <v>0</v>
      </c>
      <c r="AP14" s="1091">
        <f>IF(ISNUMBER(((Datos!L14/Datos!K14)*11)/factor_trimestre),((Datos!L14/Datos!K14)*11)/factor_trimestre," - ")</f>
        <v>9.3585476550680777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-2.4545454545454546</v>
      </c>
      <c r="AU14" s="1086" t="str">
        <f>IF(ISNUMBER((DatosP!#REF!-DatosP!#REF!+DatosP!#REF!)/(DatosP!#REF!+DatosP!#REF!-DatosP!#REF!-DatosP!#REF!)),(DatosP!#REF!-DatosP!#REF!+DatosP!#REF!)/(DatosP!#REF!+DatosP!#REF!-DatosP!#REF!-DatosP!#REF!)," - ")</f>
        <v xml:space="preserve"> - </v>
      </c>
      <c r="AV14" s="1092">
        <f>SUBTOTAL(9,AV9:AV13)</f>
        <v>-4.5385779122541605E-3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4</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1.5041969781757134</v>
      </c>
      <c r="AQ20" s="1091">
        <f>IF(ISNUMBER(((Datos!M20/Datos!L20)*11)/factor_trimestre),((Datos!M20/Datos!L20)*11)/factor_trimestre," - ")</f>
        <v>0.71651785714285721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-4.3478260869565216E-2</v>
      </c>
      <c r="AW20" s="1093">
        <f>IF(ISNUMBER((Datos!Q20-Datos!R20)/(Datos!S20-Datos!Q20+Datos!R20)),(Datos!Q20-Datos!R20)/(Datos!S20-Datos!Q20+Datos!R20)," - ")</f>
        <v>-0.17529472065607382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11</v>
      </c>
      <c r="G21" s="1098">
        <f t="shared" si="4"/>
        <v>11</v>
      </c>
      <c r="H21" s="1098">
        <f t="shared" si="4"/>
        <v>0</v>
      </c>
      <c r="I21" s="1099">
        <f t="shared" si="4"/>
        <v>0</v>
      </c>
      <c r="J21" s="1100">
        <f t="shared" si="4"/>
        <v>0</v>
      </c>
      <c r="K21" s="1100">
        <f t="shared" si="4"/>
        <v>0</v>
      </c>
      <c r="L21" s="1100">
        <f t="shared" si="4"/>
        <v>0</v>
      </c>
      <c r="M21" s="1100">
        <f t="shared" si="4"/>
        <v>0</v>
      </c>
      <c r="N21" s="1099">
        <f t="shared" si="4"/>
        <v>16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27</v>
      </c>
      <c r="AC21" s="1104">
        <f t="shared" si="5"/>
        <v>0</v>
      </c>
      <c r="AD21" s="1104">
        <f t="shared" si="5"/>
        <v>12</v>
      </c>
      <c r="AE21" s="1104">
        <f t="shared" si="5"/>
        <v>0</v>
      </c>
      <c r="AF21" s="1105">
        <f t="shared" si="5"/>
        <v>13</v>
      </c>
      <c r="AG21" s="1105">
        <f t="shared" si="5"/>
        <v>0</v>
      </c>
      <c r="AH21" s="1105">
        <f t="shared" si="5"/>
        <v>658</v>
      </c>
      <c r="AI21" s="1105">
        <f t="shared" si="5"/>
        <v>0</v>
      </c>
      <c r="AJ21" s="1106">
        <f t="shared" si="5"/>
        <v>0</v>
      </c>
      <c r="AK21" s="1106">
        <f t="shared" si="5"/>
        <v>0</v>
      </c>
      <c r="AL21" s="1098">
        <f t="shared" si="5"/>
        <v>10</v>
      </c>
      <c r="AM21" s="1098">
        <f t="shared" si="5"/>
        <v>12</v>
      </c>
      <c r="AN21" s="1098">
        <f t="shared" si="5"/>
        <v>0</v>
      </c>
      <c r="AO21" s="1098">
        <f t="shared" si="5"/>
        <v>0</v>
      </c>
      <c r="AP21" s="1098">
        <f>IF(ISNUMBER(((Datos!L21/Datos!K21)*11)/factor_trimestre),((Datos!L21/Datos!K21)*11)/factor_trimestre," - ")</f>
        <v>4.3070001799532127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-2.4545454545454546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8.8394999368607145E-4</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7.333333333333333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6.3508529610858826</v>
      </c>
      <c r="G23" s="871">
        <f>IF(ISNUMBER(STDEV(G8:G20)),STDEV(G8:G20),"-")</f>
        <v>6.3508529610858826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15.588457268119896</v>
      </c>
      <c r="AC23" s="872">
        <f>IF(ISNUMBER(STDEV(AC8:AC20)),STDEV(AC8:AC20),"-")</f>
        <v>0</v>
      </c>
      <c r="AD23" s="875"/>
      <c r="AE23" s="875"/>
      <c r="AF23" s="875"/>
      <c r="AG23" s="875"/>
      <c r="AH23" s="875"/>
      <c r="AI23" s="875"/>
      <c r="AJ23" s="876">
        <f>IF(ISNUMBER(STDEV(AJ8:AJ20)),STDEV(AJ8:AJ20),"-")</f>
        <v>0</v>
      </c>
      <c r="AK23" s="878"/>
      <c r="AL23" s="870">
        <f>IF(ISNUMBER(STDEV(AL8:AL20)),STDEV(AL8:AL20),"-")</f>
        <v>5.7735026918962582</v>
      </c>
      <c r="AM23" s="870"/>
      <c r="AN23" s="870">
        <f>IF(ISNUMBER(STDEV(AN8:AN20)),STDEV(AN8:AN20),"-")</f>
        <v>0</v>
      </c>
      <c r="AO23" s="876">
        <f>IF(ISNUMBER(STDEV(AO8:AO20)),STDEV(AO8:AO20),"-")</f>
        <v>0</v>
      </c>
      <c r="AP23" s="923">
        <f>IF(ISNUMBER(STDEV(AP8:AP20)),STDEV(AP8:AP20),"-")</f>
        <v>4.5520585919868921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JNES106btpoAAdCUI2T7ZpC/X3P9XVNidAH/HzajdOj44/+rhaYI/voCaxLTvmECeMWnT1bG0+FmEvmLqMMApw==" saltValue="iN1onlUNk6tTpDkSPI3R+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CANARIAS</v>
      </c>
      <c r="C2" s="400"/>
      <c r="E2" s="400"/>
      <c r="F2" s="400"/>
      <c r="G2" s="400"/>
      <c r="H2" s="400"/>
    </row>
    <row r="3" spans="1:15" ht="39">
      <c r="A3" s="427" t="s">
        <v>241</v>
      </c>
      <c r="B3" s="403" t="str">
        <f>Criterios!A10 &amp;"  "&amp;Criterios!B10</f>
        <v>Provincias  LAS PALMAS</v>
      </c>
      <c r="C3" s="427"/>
      <c r="F3" s="400"/>
      <c r="G3" s="400"/>
      <c r="H3" s="400"/>
    </row>
    <row r="4" spans="1:15" ht="13.5" thickBot="1">
      <c r="A4" s="400"/>
      <c r="B4" s="403" t="str">
        <f>Criterios!A11 &amp;"  "&amp;Criterios!B11</f>
        <v>Resumenes por Partidos Judiciales  ARRECIFE</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5</v>
      </c>
      <c r="D9" s="415">
        <f>Datos!BK9</f>
        <v>0</v>
      </c>
      <c r="E9" s="415">
        <f>Datos!AQ9</f>
        <v>5</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4</v>
      </c>
      <c r="D16" s="415">
        <f>Datos!BK16</f>
        <v>0</v>
      </c>
      <c r="E16" s="415">
        <f>Datos!AQ16</f>
        <v>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mZFl9E+RhOogayBasBc4UIr/SSQbua+Fn2jVzsxfiQyyTQS7nAKJWgF2kaHFrYplnyrrVtIGmmUMywhjPC/vWQ==" saltValue="PKdEa6FU6YTKYw3E50Qlf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CANARIAS</v>
      </c>
      <c r="C2" s="439"/>
      <c r="D2" s="382"/>
    </row>
    <row r="3" spans="1:9" ht="19.5">
      <c r="A3" s="440" t="s">
        <v>11</v>
      </c>
      <c r="B3" s="441" t="str">
        <f>Criterios!A10 &amp;"  "&amp;Criterios!B10</f>
        <v>Provincias  LAS PALMAS</v>
      </c>
      <c r="C3" s="439"/>
      <c r="D3" s="440"/>
    </row>
    <row r="4" spans="1:9" ht="13.5" thickBot="1">
      <c r="B4" s="441" t="str">
        <f>Criterios!A11 &amp;"  "&amp;Criterios!B11</f>
        <v>Resumenes por Partidos Judiciales  ARRECIFE</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5</v>
      </c>
      <c r="C9" s="422">
        <f>Datos!AQ9</f>
        <v>5</v>
      </c>
      <c r="D9" s="415">
        <f>IF(ISNUMBER(Datos!M9),Datos!M9," - ")</f>
        <v>287</v>
      </c>
      <c r="E9" s="416">
        <f t="shared" ref="E9:E14" si="0">IF(ISNUMBER(D9/B9),D9/B9," - ")</f>
        <v>57.4</v>
      </c>
      <c r="F9" s="415">
        <f>IF(ISNUMBER(Datos!N9),Datos!N9," - ")</f>
        <v>1298</v>
      </c>
      <c r="G9" s="416">
        <f t="shared" ref="G9:G14" si="1">IF(ISNUMBER(F9/B9),F9/B9," - ")</f>
        <v>259.60000000000002</v>
      </c>
      <c r="H9" s="415">
        <f>IF(ISNUMBER(Datos!O9),Datos!O9," - ")</f>
        <v>666</v>
      </c>
      <c r="I9" s="416">
        <f>IF(ISNUMBER(H9/B9),H9/B9," - ")</f>
        <v>133.19999999999999</v>
      </c>
    </row>
    <row r="10" spans="1:9">
      <c r="A10" s="414" t="str">
        <f>Datos!A10</f>
        <v>Jdos. Violencia contra la mujer</v>
      </c>
      <c r="B10" s="444">
        <f>Datos!AO10</f>
        <v>1</v>
      </c>
      <c r="C10" s="422">
        <f>Datos!AQ10</f>
        <v>0</v>
      </c>
      <c r="D10" s="415">
        <f>IF(ISNUMBER(Datos!M10),Datos!M10," - ")</f>
        <v>10</v>
      </c>
      <c r="E10" s="416">
        <f>IF(ISNUMBER(D10/B10),D10/B10," - ")</f>
        <v>10</v>
      </c>
      <c r="F10" s="415">
        <f>IF(ISNUMBER(Datos!N10),Datos!N10," - ")</f>
        <v>12</v>
      </c>
      <c r="G10" s="416">
        <f>IF(ISNUMBER(F10/B10),F10/B10," - ")</f>
        <v>12</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f>IF(ISNUMBER(Datos!M12),Datos!M12," - ")</f>
        <v>0</v>
      </c>
      <c r="E12" s="416" t="str">
        <f t="shared" si="0"/>
        <v xml:space="preserve"> - </v>
      </c>
      <c r="F12" s="415">
        <f>IF(ISNUMBER(Datos!N12),Datos!N12," - ")</f>
        <v>0</v>
      </c>
      <c r="G12" s="416" t="str">
        <f t="shared" si="1"/>
        <v xml:space="preserve"> - </v>
      </c>
      <c r="H12" s="415">
        <f>IF(ISNUMBER(Datos!O12),Datos!O12," - ")</f>
        <v>10</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297</v>
      </c>
      <c r="E14" s="997">
        <f t="shared" si="0"/>
        <v>49.5</v>
      </c>
      <c r="F14" s="996">
        <f>SUBTOTAL(9,F9:F13)</f>
        <v>1310</v>
      </c>
      <c r="G14" s="997">
        <f t="shared" si="1"/>
        <v>218.33333333333334</v>
      </c>
      <c r="H14" s="996">
        <f>SUBTOTAL(9,H9:H13)</f>
        <v>677</v>
      </c>
      <c r="I14" s="997">
        <f>IF(ISNUMBER(H14/B14),H14/B14," - ")</f>
        <v>112.83333333333333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4</v>
      </c>
      <c r="C16" s="445">
        <f>Datos!AQ16</f>
        <v>4</v>
      </c>
      <c r="D16" s="415">
        <f>IF(ISNUMBER(Datos!M16),Datos!M16," - ")</f>
        <v>387</v>
      </c>
      <c r="E16" s="416">
        <f t="shared" ref="E16:E20" si="3">IF(ISNUMBER(D16/B16),D16/B16," - ")</f>
        <v>96.75</v>
      </c>
      <c r="F16" s="415">
        <f>IF(ISNUMBER(Datos!N16),Datos!N16," - ")</f>
        <v>2442</v>
      </c>
      <c r="G16" s="416">
        <f t="shared" ref="G16:G20" si="4">IF(ISNUMBER(F16/B16),F16/B16," - ")</f>
        <v>610.5</v>
      </c>
      <c r="H16" s="415">
        <f>IF(ISNUMBER(Datos!O16),Datos!O16," - ")</f>
        <v>8</v>
      </c>
      <c r="I16" s="416">
        <f t="shared" ref="I16:I19" si="5">IF(ISNUMBER(H16/B16),H16/B16," - ")</f>
        <v>2</v>
      </c>
    </row>
    <row r="17" spans="1:9">
      <c r="A17" s="414" t="str">
        <f>Datos!A17</f>
        <v xml:space="preserve">Jdos. 1ª Instª. e Instr.                        </v>
      </c>
      <c r="B17" s="444">
        <f>Datos!AO17</f>
        <v>0</v>
      </c>
      <c r="C17" s="445">
        <f>Datos!AQ17</f>
        <v>0</v>
      </c>
      <c r="D17" s="415">
        <f>IF(ISNUMBER(Datos!M17),Datos!M17," - ")</f>
        <v>0</v>
      </c>
      <c r="E17" s="416" t="str">
        <f t="shared" si="3"/>
        <v xml:space="preserve"> - </v>
      </c>
      <c r="F17" s="415">
        <f>IF(ISNUMBER(Datos!N17),Datos!N17," - ")</f>
        <v>0</v>
      </c>
      <c r="G17" s="416" t="str">
        <f t="shared" si="4"/>
        <v xml:space="preserve"> - </v>
      </c>
      <c r="H17" s="415">
        <f>IF(ISNUMBER(Datos!O17),Datos!O17," - ")</f>
        <v>0</v>
      </c>
      <c r="I17" s="416" t="str">
        <f t="shared" si="5"/>
        <v xml:space="preserve"> - </v>
      </c>
    </row>
    <row r="18" spans="1:9">
      <c r="A18" s="414" t="str">
        <f>Datos!A18</f>
        <v>Jdos. Violencia contra la mujer</v>
      </c>
      <c r="B18" s="444">
        <f>Datos!AO18</f>
        <v>1</v>
      </c>
      <c r="C18" s="445">
        <f>Datos!AQ18</f>
        <v>0</v>
      </c>
      <c r="D18" s="415">
        <f>IF(ISNUMBER(Datos!M18),Datos!M18," - ")</f>
        <v>41</v>
      </c>
      <c r="E18" s="416">
        <f>IF(ISNUMBER(D18/B18),D18/B18," - ")</f>
        <v>41</v>
      </c>
      <c r="F18" s="415">
        <f>IF(ISNUMBER(Datos!N18),Datos!N18," - ")</f>
        <v>84</v>
      </c>
      <c r="G18" s="416">
        <f>IF(ISNUMBER(F18/B18),F18/B18," - ")</f>
        <v>84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428</v>
      </c>
      <c r="E20" s="997">
        <f t="shared" si="3"/>
        <v>85.6</v>
      </c>
      <c r="F20" s="996">
        <f>SUBTOTAL(9,F16:F19)</f>
        <v>2526</v>
      </c>
      <c r="G20" s="997">
        <f t="shared" si="4"/>
        <v>505.2</v>
      </c>
      <c r="H20" s="996">
        <f>SUBTOTAL(9,H16:H19)</f>
        <v>8</v>
      </c>
      <c r="I20" s="997">
        <f>IF(ISNUMBER(H20/B20),H20/B20," - ")</f>
        <v>1.6</v>
      </c>
    </row>
    <row r="21" spans="1:9" ht="14.25" thickTop="1" thickBot="1">
      <c r="A21" s="940" t="str">
        <f>Datos!A21</f>
        <v>TOTAL JURISDICCIONES</v>
      </c>
      <c r="B21" s="941">
        <f>Datos!AP21</f>
        <v>9</v>
      </c>
      <c r="C21" s="941">
        <f>Datos!AR21</f>
        <v>9</v>
      </c>
      <c r="D21" s="941">
        <f>SUBTOTAL(9,D8:D20)</f>
        <v>725</v>
      </c>
      <c r="E21" s="942">
        <f>IF(ISNUMBER(D21/B21),D21/B21," - ")</f>
        <v>80.555555555555557</v>
      </c>
      <c r="F21" s="941">
        <f>SUBTOTAL(9,F8:F20)</f>
        <v>3836</v>
      </c>
      <c r="G21" s="942">
        <f>IF(ISNUMBER(F21/B21),F21/B21," - ")</f>
        <v>426.22222222222223</v>
      </c>
      <c r="H21" s="941">
        <f>SUBTOTAL(9,H8:H20)</f>
        <v>685</v>
      </c>
      <c r="I21" s="942">
        <f>IF(ISNUMBER(H21/B21),H21/B21," - ")</f>
        <v>76.111111111111114</v>
      </c>
    </row>
    <row r="24" spans="1:9">
      <c r="A24" s="403" t="str">
        <f>Criterios!A4</f>
        <v>Fecha Informe: 06 jun. 2023</v>
      </c>
    </row>
    <row r="29" spans="1:9">
      <c r="A29" s="426"/>
    </row>
  </sheetData>
  <sheetProtection algorithmName="SHA-512" hashValue="H9bJJ/hXUly5Obwlkls0YGDEB/qR7S95fabbjDCvMtz4loEKXnFfdqfWyZStprqo08V3cUQpHClkYn7gdF22tg==" saltValue="eY2aZXlYL8h49DUnd1Gu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CANARIAS</v>
      </c>
    </row>
    <row r="3" spans="1:4" ht="19.5">
      <c r="A3" s="446" t="s">
        <v>33</v>
      </c>
      <c r="B3" s="403" t="str">
        <f>Criterios!A10 &amp;"  "&amp;Criterios!B10</f>
        <v>Provincias  LAS PALMAS</v>
      </c>
    </row>
    <row r="4" spans="1:4" ht="13.5" thickBot="1">
      <c r="B4" s="403" t="str">
        <f>Criterios!A11 &amp;"  "&amp;Criterios!B11</f>
        <v>Resumenes por Partidos Judiciales  ARRECIFE</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353</v>
      </c>
      <c r="C9" s="451">
        <f>IF(ISNUMBER(Datos!Q9),Datos!Q9," - ")</f>
        <v>329</v>
      </c>
      <c r="D9" s="420">
        <f>IF(ISNUMBER(Datos!R9),Datos!R9," - ")</f>
        <v>6824</v>
      </c>
    </row>
    <row r="10" spans="1:4">
      <c r="A10" s="414" t="str">
        <f>Datos!A10</f>
        <v>Jdos. Violencia contra la mujer</v>
      </c>
      <c r="B10" s="450">
        <f>IF(ISNUMBER(Datos!P10),Datos!P10," - ")</f>
        <v>7</v>
      </c>
      <c r="C10" s="451">
        <f>IF(ISNUMBER(Datos!Q10),Datos!Q10," - ")</f>
        <v>2</v>
      </c>
      <c r="D10" s="420">
        <f>IF(ISNUMBER(Datos!R10),Datos!R10," - ")</f>
        <v>26</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9</v>
      </c>
      <c r="C12" s="451">
        <f>IF(ISNUMBER(Datos!Q12),Datos!Q12," - ")</f>
        <v>12</v>
      </c>
      <c r="D12" s="420">
        <f>IF(ISNUMBER(Datos!R12),Datos!R12," - ")</f>
        <v>658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369</v>
      </c>
      <c r="C14" s="1000">
        <f>SUBTOTAL(9,C9:C13)</f>
        <v>343</v>
      </c>
      <c r="D14" s="998">
        <f>SUBTOTAL(9,D9:D13)</f>
        <v>7508</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57</v>
      </c>
      <c r="C16" s="451">
        <f>IF(ISNUMBER(Datos!Q16),Datos!Q16," - ")</f>
        <v>73</v>
      </c>
      <c r="D16" s="420">
        <f>IF(ISNUMBER(Datos!R16),Datos!R16," - ")</f>
        <v>385</v>
      </c>
    </row>
    <row r="17" spans="1:4">
      <c r="A17" s="414" t="str">
        <f>Datos!A17</f>
        <v xml:space="preserve">Jdos. 1ª Instª. e Instr.                        </v>
      </c>
      <c r="B17" s="450">
        <f>IF(ISNUMBER(Datos!P17),Datos!P17," - ")</f>
        <v>0</v>
      </c>
      <c r="C17" s="451">
        <f>IF(ISNUMBER(Datos!Q17),Datos!Q17," - ")</f>
        <v>0</v>
      </c>
      <c r="D17" s="420">
        <f>IF(ISNUMBER(Datos!R17),Datos!R17," - ")</f>
        <v>0</v>
      </c>
    </row>
    <row r="18" spans="1:4">
      <c r="A18" s="414" t="str">
        <f>Datos!A18</f>
        <v>Jdos. Violencia contra la mujer</v>
      </c>
      <c r="B18" s="450">
        <f>IF(ISNUMBER(Datos!P18),Datos!P18," - ")</f>
        <v>0</v>
      </c>
      <c r="C18" s="451">
        <f>IF(ISNUMBER(Datos!Q18),Datos!Q18," - ")</f>
        <v>3</v>
      </c>
      <c r="D18" s="420">
        <f>IF(ISNUMBER(Datos!R18),Datos!R18," - ")</f>
        <v>33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57</v>
      </c>
      <c r="C20" s="1000">
        <f>SUBTOTAL(9,C16:C19)</f>
        <v>76</v>
      </c>
      <c r="D20" s="998">
        <f>SUBTOTAL(9,D16:D19)</f>
        <v>418</v>
      </c>
    </row>
    <row r="21" spans="1:4" ht="16.5" customHeight="1" thickTop="1" thickBot="1">
      <c r="A21" s="940" t="str">
        <f>Datos!A21</f>
        <v>TOTAL JURISDICCIONES</v>
      </c>
      <c r="B21" s="945">
        <f>SUBTOTAL(9,B8:B20)</f>
        <v>426</v>
      </c>
      <c r="C21" s="946">
        <f>SUBTOTAL(9,C8:C20)</f>
        <v>419</v>
      </c>
      <c r="D21" s="947">
        <f>SUBTOTAL(9,D8:D20)</f>
        <v>7926</v>
      </c>
    </row>
    <row r="22" spans="1:4" ht="7.5" customHeight="1"/>
    <row r="23" spans="1:4" ht="6" customHeight="1"/>
    <row r="24" spans="1:4">
      <c r="A24" s="403" t="str">
        <f>Criterios!A4</f>
        <v>Fecha Informe: 06 jun. 2023</v>
      </c>
    </row>
    <row r="29" spans="1:4">
      <c r="A29" s="426"/>
    </row>
  </sheetData>
  <sheetProtection algorithmName="SHA-512" hashValue="7ibnHCPzyBI43JcW4vWyA/t6fAjNWIOeofURay/mOf2iprIjSSeO2evvBdmlEur8Tapq3fMvRSviwCreYqiMwQ==" saltValue="qVFZUGnq3uQy1+Y06Pn5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CANARIAS</v>
      </c>
    </row>
    <row r="3" spans="1:11" ht="18.75" customHeight="1">
      <c r="A3" s="446" t="s">
        <v>131</v>
      </c>
      <c r="B3" s="403" t="str">
        <f>Criterios!A10 &amp;"  "&amp;Criterios!B10</f>
        <v>Provincias  LAS PALMAS</v>
      </c>
    </row>
    <row r="4" spans="1:11" ht="10.5" customHeight="1" thickBot="1">
      <c r="B4" s="403" t="str">
        <f>Criterios!A11 &amp;"  "&amp;Criterios!B11</f>
        <v>Resumenes por Partidos Judiciales  ARRECIFE</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0.20688073394495413</v>
      </c>
      <c r="C9" s="473">
        <f>IF(ISNUMBER(
   IF(J_V="SI",(Datos!J9-Datos!T9)/Datos!T9,(Datos!J9+Datos!Z9-(Datos!T9+Datos!AH9))/(Datos!T9+Datos!AH9))
     ),IF(J_V="SI",(Datos!J9-Datos!T9)/Datos!T9,(Datos!J9+Datos!Z9-(Datos!T9+Datos!AH9))/(Datos!T9+Datos!AH9))," - ")</f>
        <v>0.17725752508361203</v>
      </c>
      <c r="D9" s="473">
        <f>IF(ISNUMBER(
   IF(J_V="SI",(Datos!K9-Datos!U9)/Datos!U9,(Datos!K9+Datos!AA9-(Datos!U9+Datos!AI9))/(Datos!U9+Datos!AI9))
     ),IF(J_V="SI",(Datos!K9-Datos!U9)/Datos!U9,(Datos!K9+Datos!AA9-(Datos!U9+Datos!AI9))/(Datos!U9+Datos!AI9))," - ")</f>
        <v>-0.15729882733522038</v>
      </c>
      <c r="E9" s="473">
        <f>IF(ISNUMBER(
   IF(J_V="SI",(Datos!L9-Datos!V9)/Datos!V9,(Datos!L9+Datos!AB9-(Datos!V9+Datos!AJ9))/(Datos!V9+Datos!AJ9))
     ),IF(J_V="SI",(Datos!L9-Datos!V9)/Datos!V9,(Datos!L9+Datos!AB9-(Datos!V9+Datos!AJ9))/(Datos!V9+Datos!AJ9))," - ")</f>
        <v>0.38619484491044126</v>
      </c>
      <c r="F9" s="473">
        <f>IF(ISNUMBER((Datos!M9-Datos!W9)/Datos!W9),(Datos!M9-Datos!W9)/Datos!W9," - ")</f>
        <v>-0.28249999999999997</v>
      </c>
      <c r="G9" s="474">
        <f>IF(ISNUMBER((Datos!N9-Datos!X9)/Datos!X9),(Datos!N9-Datos!X9)/Datos!X9," - ")</f>
        <v>-0.10173010380622838</v>
      </c>
      <c r="H9" s="472">
        <f>IF(ISNUMBER(((NºAsuntos!G9/NºAsuntos!E9)-Datos!BD9)/Datos!BD9),((NºAsuntos!G9/NºAsuntos!E9)-Datos!BD9)/Datos!BD9," - ")</f>
        <v>-0.28418281071940593</v>
      </c>
      <c r="I9" s="473">
        <f>IF(ISNUMBER(((NºAsuntos!I9/NºAsuntos!G9)-Datos!BE9)/Datos!BE9),((NºAsuntos!I9/NºAsuntos!G9)-Datos!BE9)/Datos!BE9," - ")</f>
        <v>0.64494234715140175</v>
      </c>
      <c r="J9" s="478">
        <f>IF(ISNUMBER((('Resol  Asuntos'!D9/NºAsuntos!G9)-Datos!BF9)/Datos!BF9),(('Resol  Asuntos'!D9/NºAsuntos!G9)-Datos!BF9)/Datos!BF9," - ")</f>
        <v>-0.76431038261527939</v>
      </c>
      <c r="K9" s="479">
        <f>IF(ISNUMBER((((NºAsuntos!C9+NºAsuntos!E9)/NºAsuntos!G9)-Datos!BG9)/Datos!BG9),(((NºAsuntos!C9+NºAsuntos!E9)/NºAsuntos!G9)-Datos!BG9)/Datos!BG9," - ")</f>
        <v>0.41874146436804949</v>
      </c>
    </row>
    <row r="10" spans="1:11">
      <c r="A10" s="414" t="str">
        <f>Datos!A10</f>
        <v>Jdos. Violencia contra la mujer</v>
      </c>
      <c r="B10" s="472">
        <f>IF(ISNUMBER((Datos!I10-Datos!S10)/Datos!S10),(Datos!I10-Datos!S10)/Datos!S10," - ")</f>
        <v>-0.56000000000000005</v>
      </c>
      <c r="C10" s="473">
        <f>IF(ISNUMBER((Datos!J10-Datos!T10)/Datos!T10),(Datos!J10-Datos!T10)/Datos!T10," - ")</f>
        <v>-6.4516129032258063E-2</v>
      </c>
      <c r="D10" s="473">
        <f>IF(ISNUMBER((Datos!K10-Datos!U10)/Datos!U10),(Datos!K10-Datos!U10)/Datos!U10," - ")</f>
        <v>-0.12903225806451613</v>
      </c>
      <c r="E10" s="473">
        <f>IF(ISNUMBER((Datos!L10-Datos!V10)/Datos!V10),(Datos!L10-Datos!V10)/Datos!V10," - ")</f>
        <v>-0.48</v>
      </c>
      <c r="F10" s="473">
        <f>IF(ISNUMBER((Datos!M10-Datos!W10)/Datos!W10),(Datos!M10-Datos!W10)/Datos!W10," - ")</f>
        <v>-9.0909090909090912E-2</v>
      </c>
      <c r="G10" s="474">
        <f>IF(ISNUMBER((Datos!N10-Datos!X10)/Datos!X10),(Datos!N10-Datos!X10)/Datos!X10," - ")</f>
        <v>-0.25</v>
      </c>
      <c r="H10" s="472">
        <f>IF(ISNUMBER(((NºAsuntos!G10/NºAsuntos!E10)-Datos!BD10)/Datos!BD10),((NºAsuntos!G10/NºAsuntos!E10)-Datos!BD10)/Datos!BD10," - ")</f>
        <v>-6.8965517241379337E-2</v>
      </c>
      <c r="I10" s="473">
        <f>IF(ISNUMBER(((NºAsuntos!I10/NºAsuntos!G10)-Datos!BE10)/Datos!BE10),((NºAsuntos!I10/NºAsuntos!G10)-Datos!BE10)/Datos!BE10," - ")</f>
        <v>-0.40296296296296297</v>
      </c>
      <c r="J10" s="478">
        <f>IF(ISNUMBER((('Resol  Asuntos'!D10/NºAsuntos!G10)-Datos!BF10)/Datos!BF10),(('Resol  Asuntos'!D10/NºAsuntos!G10)-Datos!BF10)/Datos!BF10," - ")</f>
        <v>4.3771043771043662E-2</v>
      </c>
      <c r="K10" s="479">
        <f>IF(ISNUMBER((((NºAsuntos!C10+NºAsuntos!E10)/NºAsuntos!G10)-Datos!BG10)/Datos!BG10),(((NºAsuntos!C10+NºAsuntos!E10)/NºAsuntos!G10)-Datos!BG10)/Datos!BG10," - ")</f>
        <v>-0.17989417989417991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f>IF(ISNUMBER(
   IF(J_V="SI",(Datos!L12-Datos!V12)/Datos!V12,(Datos!L12+Datos!AB12-(Datos!V12+Datos!AJ12))/(Datos!V12+Datos!AJ12))
     ),IF(J_V="SI",(Datos!L12-Datos!V12)/Datos!V12,(Datos!L12+Datos!AB12-(Datos!V12+Datos!AJ12))/(Datos!V12+Datos!AJ12))," - ")</f>
        <v>0</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0.20246238030095759</v>
      </c>
      <c r="C14" s="1002">
        <f>IF(ISNUMBER(
   IF(J_V="SI",(Datos!J14-Datos!T14)/Datos!T14,(Datos!J14+Datos!Z14-(Datos!T14+Datos!AH14))/(Datos!T14+Datos!AH14))
     ),IF(J_V="SI",(Datos!J14-Datos!T14)/Datos!T14,(Datos!J14+Datos!Z14-(Datos!T14+Datos!AH14))/(Datos!T14+Datos!AH14))," - ")</f>
        <v>0.17450404114621601</v>
      </c>
      <c r="D14" s="1002">
        <f>IF(ISNUMBER(
   IF(J_V="SI",(Datos!K14-Datos!U14)/Datos!U14,(Datos!K14+Datos!AA14-(Datos!U14+Datos!AI14))/(Datos!U14+Datos!AI14))
     ),IF(J_V="SI",(Datos!K14-Datos!U14)/Datos!U14,(Datos!K14+Datos!AA14-(Datos!U14+Datos!AI14))/(Datos!U14+Datos!AI14))," - ")</f>
        <v>-0.15694888178913738</v>
      </c>
      <c r="E14" s="1002">
        <f>IF(ISNUMBER(
   IF(J_V="SI",(Datos!L14-Datos!V14)/Datos!V14,(Datos!L14+Datos!AB14-(Datos!V14+Datos!AJ14))/(Datos!V14+Datos!AJ14))
     ),IF(J_V="SI",(Datos!L14-Datos!V14)/Datos!V14,(Datos!L14+Datos!AB14-(Datos!V14+Datos!AJ14))/(Datos!V14+Datos!AJ14))," - ")</f>
        <v>0.38140747176368378</v>
      </c>
      <c r="F14" s="1003">
        <f>IF(ISNUMBER((Datos!M14-Datos!W14)/Datos!W14),(Datos!M14-Datos!W14)/Datos!W14," - ")</f>
        <v>-0.27737226277372262</v>
      </c>
      <c r="G14" s="1004">
        <f>IF(ISNUMBER((Datos!N14-Datos!X14)/Datos!X14),(Datos!N14-Datos!X14)/Datos!X14," - ")</f>
        <v>-0.10335386721423682</v>
      </c>
      <c r="H14" s="1004">
        <f>IF(ISNUMBER(((NºAsuntos!G14/NºAsuntos!E14)-Datos!BD14)/Datos!BD14),((NºAsuntos!G14/NºAsuntos!E14)-Datos!BD14)/Datos!BD14," - ")</f>
        <v>-0.2822067113637885</v>
      </c>
      <c r="I14" s="1004">
        <f>IF(ISNUMBER(((NºAsuntos!I14/NºAsuntos!G14)-Datos!BE14)/Datos!BE14),((NºAsuntos!I14/NºAsuntos!G14)-Datos!BE14)/Datos!BE14," - ")</f>
        <v>0.63858091392527916</v>
      </c>
      <c r="J14" s="1004">
        <f>IF(ISNUMBER((('Resol  Asuntos'!D14/NºAsuntos!G14)-Datos!BF14)/Datos!BF14),(('Resol  Asuntos'!D14/NºAsuntos!G14)-Datos!BF14)/Datos!BF14," - ")</f>
        <v>-0.75804134283527935</v>
      </c>
      <c r="K14" s="1004">
        <f>IF(ISNUMBER((((NºAsuntos!C14+NºAsuntos!E14)/NºAsuntos!G14)-Datos!BG14)/Datos!BG14),(((NºAsuntos!C14+NºAsuntos!E14)/NºAsuntos!G14)-Datos!BG14)/Datos!BG14," - ")</f>
        <v>0.41362219016769619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4.5051194539249148E-2</v>
      </c>
      <c r="C16" s="473">
        <f>IF(ISNUMBER(
   IF(D_I="SI",(Datos!J16-Datos!T16)/Datos!T16,(Datos!J16+Datos!AD16-(Datos!T16+Datos!AL16))/(Datos!T16+Datos!AL16))
     ),IF(D_I="SI",(Datos!J16-Datos!T16)/Datos!T16,(Datos!J16+Datos!AD16-(Datos!T16+Datos!AL16))/(Datos!T16+Datos!AL16))," - ")</f>
        <v>9.9885844748858442E-3</v>
      </c>
      <c r="D16" s="473">
        <f>IF(ISNUMBER(
   IF(D_I="SI",(Datos!K16-Datos!U16)/Datos!U16,(Datos!K16+Datos!AE16-(Datos!U16+Datos!AM16))/(Datos!U16+Datos!AM16))
     ),IF(D_I="SI",(Datos!K16-Datos!U16)/Datos!U16,(Datos!K16+Datos!AE16-(Datos!U16+Datos!AM16))/(Datos!U16+Datos!AM16))," - ")</f>
        <v>-1.5260581629714944E-2</v>
      </c>
      <c r="E16" s="473">
        <f>IF(ISNUMBER(
   IF(D_I="SI",(Datos!L16-Datos!V16)/Datos!V16,(Datos!L16+Datos!AF16-(Datos!V16+Datos!AN16))/(Datos!V16+Datos!AN16))
     ),IF(D_I="SI",(Datos!L16-Datos!V16)/Datos!V16,(Datos!L16+Datos!AF16-(Datos!V16+Datos!AN16))/(Datos!V16+Datos!AN16))," - ")</f>
        <v>9.5917044718081657E-2</v>
      </c>
      <c r="F16" s="473">
        <f>IF(ISNUMBER((Datos!M16-Datos!W16)/Datos!W16),(Datos!M16-Datos!W16)/Datos!W16," - ")</f>
        <v>-1.2755102040816327E-2</v>
      </c>
      <c r="G16" s="474">
        <f>IF(ISNUMBER((Datos!N16-Datos!X16)/Datos!X16),(Datos!N16-Datos!X16)/Datos!X16," - ")</f>
        <v>6.2663185378590072E-2</v>
      </c>
      <c r="H16" s="472">
        <f>IF(ISNUMBER(((NºAsuntos!G16/NºAsuntos!E16)-Datos!BD16)/Datos!BD16),((NºAsuntos!G16/NºAsuntos!E16)-Datos!BD16)/Datos!BD16," - ")</f>
        <v>-2.4999456917355424E-2</v>
      </c>
      <c r="I16" s="473">
        <f>IF(ISNUMBER(((NºAsuntos!I16/NºAsuntos!G16)-Datos!BE16)/Datos!BE16),((NºAsuntos!I16/NºAsuntos!G16)-Datos!BE16)/Datos!BE16," - ")</f>
        <v>0.11290055447540867</v>
      </c>
      <c r="J16" s="478">
        <f>IF(ISNUMBER((('Resol  Asuntos'!D16/NºAsuntos!G16)-Datos!BF16)/Datos!BF16),(('Resol  Asuntos'!D16/NºAsuntos!G16)-Datos!BF16)/Datos!BF16," - ")</f>
        <v>2.5443071965628606E-3</v>
      </c>
      <c r="K16" s="479">
        <f>IF(ISNUMBER((((NºAsuntos!C16+NºAsuntos!E16)/NºAsuntos!G16)-Datos!BG16)/Datos!BG16),(((NºAsuntos!C16+NºAsuntos!E16)/NºAsuntos!G16)-Datos!BG16)/Datos!BG16," - ")</f>
        <v>3.6138091253490934E-2</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f>IF(ISNUMBER(
   IF(D_I="SI",(Datos!L17-Datos!V17)/Datos!V17,(Datos!L17+Datos!AF17-(Datos!V17+Datos!AN17))/(Datos!V17+Datos!AN17))
     ),IF(D_I="SI",(Datos!L17-Datos!V17)/Datos!V17,(Datos!L17+Datos!AF17-(Datos!V17+Datos!AN17))/(Datos!V17+Datos!AN17))," - ")</f>
        <v>0</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-0.24475524475524477</v>
      </c>
      <c r="C18" s="473">
        <f>IF(ISNUMBER(
   IF(D_I="SI",(Datos!J18-Datos!T18)/Datos!T18,(Datos!J18+Datos!AD18-(Datos!T18+Datos!AL18))/(Datos!T18+Datos!AL18))
     ),IF(D_I="SI",(Datos!J18-Datos!T18)/Datos!T18,(Datos!J18+Datos!AD18-(Datos!T18+Datos!AL18))/(Datos!T18+Datos!AL18))," - ")</f>
        <v>0.10077519379844961</v>
      </c>
      <c r="D18" s="473">
        <f>IF(ISNUMBER(
   IF(D_I="SI",(Datos!K18-Datos!U18)/Datos!U18,(Datos!K18+Datos!AE18-(Datos!U18+Datos!AM18))/(Datos!U18+Datos!AM18))
     ),IF(D_I="SI",(Datos!K18-Datos!U18)/Datos!U18,(Datos!K18+Datos!AE18-(Datos!U18+Datos!AM18))/(Datos!U18+Datos!AM18))," - ")</f>
        <v>0.12408759124087591</v>
      </c>
      <c r="E18" s="473">
        <f>IF(ISNUMBER(
   IF(D_I="SI",(Datos!L18-Datos!V18)/Datos!V18,(Datos!L18+Datos!AF18-(Datos!V18+Datos!AN18))/(Datos!V18+Datos!AN18))
     ),IF(D_I="SI",(Datos!L18-Datos!V18)/Datos!V18,(Datos!L18+Datos!AF18-(Datos!V18+Datos!AN18))/(Datos!V18+Datos!AN18))," - ")</f>
        <v>-3.8461538461538464E-2</v>
      </c>
      <c r="F18" s="473">
        <f>IF(ISNUMBER((Datos!M18-Datos!W18)/Datos!W18),(Datos!M18-Datos!W18)/Datos!W18," - ")</f>
        <v>-0.10869565217391304</v>
      </c>
      <c r="G18" s="474">
        <f>IF(ISNUMBER((Datos!N18-Datos!X18)/Datos!X18),(Datos!N18-Datos!X18)/Datos!X18," - ")</f>
        <v>0.7142857142857143</v>
      </c>
      <c r="H18" s="472">
        <f>IF(ISNUMBER(((NºAsuntos!G18/NºAsuntos!E18)-Datos!BD18)/Datos!BD18),((NºAsuntos!G18/NºAsuntos!E18)-Datos!BD18)/Datos!BD18," - ")</f>
        <v>2.1178163873753465E-2</v>
      </c>
      <c r="I18" s="473">
        <f>IF(ISNUMBER(((NºAsuntos!I18/NºAsuntos!G18)-Datos!BE18)/Datos!BE18),((NºAsuntos!I18/NºAsuntos!G18)-Datos!BE18)/Datos!BE18," - ")</f>
        <v>-0.14460539460539457</v>
      </c>
      <c r="J18" s="478">
        <f>IF(ISNUMBER((('Resol  Asuntos'!D18/NºAsuntos!G18)-Datos!BF18)/Datos!BF18),(('Resol  Asuntos'!D18/NºAsuntos!G18)-Datos!BF18)/Datos!BF18," - ")</f>
        <v>-0.20708639186900057</v>
      </c>
      <c r="K18" s="479">
        <f>IF(ISNUMBER((((NºAsuntos!C18+NºAsuntos!E18)/NºAsuntos!G18)-Datos!BG18)/Datos!BG18),(((NºAsuntos!C18+NºAsuntos!E18)/NºAsuntos!G18)-Datos!BG18)/Datos!BG18," - ")</f>
        <v>-0.18234339190221543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1.9266625233064015E-2</v>
      </c>
      <c r="C20" s="1002">
        <f>IF(ISNUMBER(
   IF(Criterios!B14="SI",(Datos!J20-Datos!T20)/Datos!T20,(Datos!J20+Datos!AD20-(Datos!T20+Datos!AL20))/(Datos!T20+Datos!AL20))
     ),IF(Criterios!B14="SI",(Datos!J20-Datos!T20)/Datos!T20,(Datos!J20+Datos!AD20-(Datos!T20+Datos!AL20))/(Datos!T20+Datos!AL20))," - ")</f>
        <v>1.3212221304706853E-2</v>
      </c>
      <c r="D20" s="1002">
        <f>IF(ISNUMBER(
   IF(Criterios!B14="SI",(Datos!K20-Datos!U20)/Datos!U20,(Datos!K20+Datos!AE20-(Datos!U20+Datos!AM20))/(Datos!U20+Datos!AM20))
     ),IF(Criterios!B14="SI",(Datos!K20-Datos!U20)/Datos!U20,(Datos!K20+Datos!AE20-(Datos!U20+Datos!AM20))/(Datos!U20+Datos!AM20))," - ")</f>
        <v>-9.9722991689750688E-3</v>
      </c>
      <c r="E20" s="1002">
        <f>IF(ISNUMBER(
   IF(Criterios!B14="SI",(Datos!L20-Datos!V20)/Datos!V20,(Datos!L20+Datos!AF20-(Datos!V20+Datos!AN20))/(Datos!V20+Datos!AN20))
     ),IF(Criterios!B14="SI",(Datos!L20-Datos!V20)/Datos!V20,(Datos!L20+Datos!AF20-(Datos!V20+Datos!AN20))/(Datos!V20+Datos!AN20))," - ")</f>
        <v>8.7378640776699032E-2</v>
      </c>
      <c r="F20" s="1003">
        <f>IF(ISNUMBER((Datos!M20-Datos!W20)/Datos!W20),(Datos!M20-Datos!W20)/Datos!W20," - ")</f>
        <v>-2.2831050228310501E-2</v>
      </c>
      <c r="G20" s="1004">
        <f>IF(ISNUMBER((Datos!N20-Datos!X20)/Datos!X20),(Datos!N20-Datos!X20)/Datos!X20," - ")</f>
        <v>7.626757562846187E-2</v>
      </c>
      <c r="H20" s="1004">
        <f>IF(ISNUMBER(((NºAsuntos!G20/NºAsuntos!E20)-Datos!BD20)/Datos!BD20),((NºAsuntos!G20/NºAsuntos!E20)-Datos!BD20)/Datos!BD20," - ")</f>
        <v>-2.2882195838328335E-2</v>
      </c>
      <c r="I20" s="1004">
        <f>IF(ISNUMBER(((NºAsuntos!I20/NºAsuntos!G20)-Datos!BE20)/Datos!BE20),((NºAsuntos!I20/NºAsuntos!G20)-Datos!BE20)/Datos!BE20," - ")</f>
        <v>9.8331531394483307E-2</v>
      </c>
      <c r="J20" s="1004">
        <f>IF(ISNUMBER((('Resol  Asuntos'!D20/NºAsuntos!G20)-Datos!BF20)/Datos!BF20),(('Resol  Asuntos'!D20/NºAsuntos!G20)-Datos!BF20)/Datos!BF20," - ")</f>
        <v>-1.2988274013486534E-2</v>
      </c>
      <c r="K20" s="1004">
        <f>IF(ISNUMBER((((NºAsuntos!C20+NºAsuntos!E20)/NºAsuntos!G20)-Datos!BG20)/Datos!BG20),(((NºAsuntos!C20+NºAsuntos!E20)/NºAsuntos!G20)-Datos!BG20)/Datos!BG20," - ")</f>
        <v>2.5295133554965949E-2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0.15329441201000835</v>
      </c>
      <c r="C21" s="949">
        <f>IF(ISNUMBER(
   IF(J_V="SI",(Datos!J21-Datos!T21)/Datos!T21,(Datos!J21+Datos!Z21-(Datos!T21+Datos!AH21))/(Datos!T21+Datos!AH21))
     ),IF(J_V="SI",(Datos!J21-Datos!T21)/Datos!T21,(Datos!J21+Datos!Z21-(Datos!T21+Datos!AH21))/(Datos!T21+Datos!AH21))," - ")</f>
        <v>8.2297403619197476E-2</v>
      </c>
      <c r="D21" s="949">
        <f>IF(ISNUMBER(
   IF(J_V="SI",(Datos!K21-Datos!U21)/Datos!U21,(Datos!K21+Datos!AA21-(Datos!U21+Datos!AI21))/(Datos!U21+Datos!AI21))
     ),IF(J_V="SI",(Datos!K21-Datos!U21)/Datos!U21,(Datos!K21+Datos!AA21-(Datos!U21+Datos!AI21))/(Datos!U21+Datos!AI21))," - ")</f>
        <v>-7.0166830225711477E-2</v>
      </c>
      <c r="E21" s="949">
        <f>IF(ISNUMBER(
   IF(J_V="SI",(Datos!L21-Datos!V21)/Datos!V21,(Datos!L21+Datos!AB21-(Datos!V21+Datos!AJ21))/(Datos!V21+Datos!AJ21))
     ),IF(J_V="SI",(Datos!L21-Datos!V21)/Datos!V21,(Datos!L21+Datos!AB21-(Datos!V21+Datos!AJ21))/(Datos!V21+Datos!AJ21))," - ")</f>
        <v>0.30390275111964171</v>
      </c>
      <c r="F21" s="950">
        <f>IF(ISNUMBER((Datos!M21-Datos!W21)/Datos!W21),(Datos!M21-Datos!W21)/Datos!W21," - ")</f>
        <v>-0.14605418138987045</v>
      </c>
      <c r="G21" s="951">
        <f>IF(ISNUMBER((Datos!N21-Datos!X21)/Datos!X21),(Datos!N21-Datos!X21)/Datos!X21," - ")</f>
        <v>7.3529411764705881E-3</v>
      </c>
      <c r="H21" s="952">
        <f>IF(ISNUMBER((Tasas!B21-Datos!BD21)/Datos!BD21),(Tasas!B21-Datos!BD21)/Datos!BD21," - ")</f>
        <v>-0.14087092266420415</v>
      </c>
      <c r="I21" s="953">
        <f>IF(ISNUMBER((Tasas!C21-Datos!BE21)/Datos!BE21),(Tasas!C21-Datos!BE21)/Datos!BE21," - ")</f>
        <v>0.40229752336772018</v>
      </c>
      <c r="J21" s="954">
        <f>IF(ISNUMBER((Tasas!D21-Datos!BF21)/Datos!BF21),(Tasas!D21-Datos!BF21)/Datos!BF21," - ")</f>
        <v>-0.58832641893717985</v>
      </c>
      <c r="K21" s="954">
        <f>IF(ISNUMBER((Tasas!E21-Datos!BG21)/Datos!BG21),(Tasas!E21-Datos!BG21)/Datos!BG21," - ")</f>
        <v>0.20103387350047541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3G/YDJgOPDE04YDGPhcRcg/3zzDKFpDnvl0Lrq0O27DXzCWNhwNXfLq5iPPuFaKSAt6Hv+rXv7WGxpHNmnTjw==" saltValue="0wrwqEQTn85uEFHqRGtUM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CANARIAS</v>
      </c>
    </row>
    <row r="3" spans="1:7" ht="19.5">
      <c r="A3" s="453" t="s">
        <v>12</v>
      </c>
      <c r="B3" s="403" t="str">
        <f>Criterios!A10 &amp;"  "&amp;Criterios!B10</f>
        <v>Provincias  LAS PALMAS</v>
      </c>
    </row>
    <row r="4" spans="1:7" ht="11.25" customHeight="1" thickBot="1">
      <c r="B4" s="403" t="str">
        <f>Criterios!A11 &amp;"  "&amp;Criterios!B11</f>
        <v>Resumenes por Partidos Judiciales  ARRECIFE</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0.65782828282828287</v>
      </c>
      <c r="C9" s="460">
        <f>IF(ISNUMBER(NºAsuntos!I9/NºAsuntos!G9),NºAsuntos!I9/NºAsuntos!G9," - ")</f>
        <v>3.04510556621881</v>
      </c>
      <c r="D9" s="461">
        <f>IF(ISNUMBER('Resol  Asuntos'!D9/NºAsuntos!G9),'Resol  Asuntos'!D9/NºAsuntos!G9," - ")</f>
        <v>0.13771593090211132</v>
      </c>
      <c r="E9" s="462">
        <f>IF(ISNUMBER((NºAsuntos!C9+NºAsuntos!E9)/NºAsuntos!G9),(NºAsuntos!C9+NºAsuntos!E9)/NºAsuntos!G9," - ")</f>
        <v>4.04510556621881</v>
      </c>
      <c r="G9" s="480"/>
    </row>
    <row r="10" spans="1:7">
      <c r="A10" s="414" t="str">
        <f>Datos!A10</f>
        <v>Jdos. Violencia contra la mujer</v>
      </c>
      <c r="B10" s="459">
        <f>IF(ISNUMBER(NºAsuntos!G10/NºAsuntos!E10),NºAsuntos!G10/NºAsuntos!E10," - ")</f>
        <v>0.93103448275862066</v>
      </c>
      <c r="C10" s="460">
        <f>IF(ISNUMBER(NºAsuntos!I10/NºAsuntos!G10),NºAsuntos!I10/NºAsuntos!G10," - ")</f>
        <v>0.48148148148148145</v>
      </c>
      <c r="D10" s="461">
        <f>IF(ISNUMBER('Resol  Asuntos'!D10/NºAsuntos!G10),'Resol  Asuntos'!D10/NºAsuntos!G10," - ")</f>
        <v>0.37037037037037035</v>
      </c>
      <c r="E10" s="462">
        <f>IF(ISNUMBER((NºAsuntos!C10+NºAsuntos!E10)/NºAsuntos!G10),(NºAsuntos!C10+NºAsuntos!E10)/NºAsuntos!G10," - ")</f>
        <v>1.4814814814814814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0.66030653737879264</v>
      </c>
      <c r="C14" s="1006">
        <f>IF(ISNUMBER(NºAsuntos!I14/NºAsuntos!G14),NºAsuntos!I14/NºAsuntos!G14," - ")</f>
        <v>3.0127901468498344</v>
      </c>
      <c r="D14" s="1007">
        <f>IF(ISNUMBER('Resol  Asuntos'!D14/NºAsuntos!G14),'Resol  Asuntos'!D14/NºAsuntos!G14," - ")</f>
        <v>0.14069161534817623</v>
      </c>
      <c r="E14" s="1008">
        <f>IF(ISNUMBER((NºAsuntos!C14+NºAsuntos!E14)/NºAsuntos!G14),(NºAsuntos!C14+NºAsuntos!E14)/NºAsuntos!G14," - ")</f>
        <v>4.0127901468498344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0.96637468211359145</v>
      </c>
      <c r="C16" s="460">
        <f>IF(ISNUMBER(NºAsuntos!I16/NºAsuntos!G16),NºAsuntos!I16/NºAsuntos!G16," - ")</f>
        <v>0.49444444444444446</v>
      </c>
      <c r="D16" s="461">
        <f>IF(ISNUMBER('Resol  Asuntos'!D16/NºAsuntos!G16),'Resol  Asuntos'!D16/NºAsuntos!G16," - ")</f>
        <v>0.11315789473684211</v>
      </c>
      <c r="E16" s="462">
        <f>IF(ISNUMBER((NºAsuntos!C16+NºAsuntos!E16)/NºAsuntos!G16),(NºAsuntos!C16+NºAsuntos!E16)/NºAsuntos!G16," - ")</f>
        <v>1.4824561403508771</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1.0845070422535212</v>
      </c>
      <c r="C18" s="460">
        <f>IF(ISNUMBER(NºAsuntos!I18/NºAsuntos!G18),NºAsuntos!I18/NºAsuntos!G18," - ")</f>
        <v>0.64935064935064934</v>
      </c>
      <c r="D18" s="461">
        <f>IF(ISNUMBER('Resol  Asuntos'!D18/NºAsuntos!G18),'Resol  Asuntos'!D18/NºAsuntos!G18," - ")</f>
        <v>0.26623376623376621</v>
      </c>
      <c r="E18" s="462">
        <f>IF(ISNUMBER((NºAsuntos!C18+NºAsuntos!E18)/NºAsuntos!G18),(NºAsuntos!C18+NºAsuntos!E18)/NºAsuntos!G18," - ")</f>
        <v>1.6233766233766234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0.97093181200760659</v>
      </c>
      <c r="C20" s="1006">
        <f>IF(ISNUMBER(NºAsuntos!I20/NºAsuntos!G20),NºAsuntos!I20/NºAsuntos!G20," - ")</f>
        <v>0.5013989927252378</v>
      </c>
      <c r="D20" s="1009">
        <f>IF(ISNUMBER('Resol  Asuntos'!D20/NºAsuntos!G20),'Resol  Asuntos'!D20/NºAsuntos!G20," - ")</f>
        <v>0.11975377728035815</v>
      </c>
      <c r="E20" s="1008">
        <f>IF(ISNUMBER((NºAsuntos!C20+NºAsuntos!E20)/NºAsuntos!G20),(NºAsuntos!C20+NºAsuntos!E20)/NºAsuntos!G20," - ")</f>
        <v>1.4888080581980974</v>
      </c>
      <c r="G20" s="480"/>
    </row>
    <row r="21" spans="1:7" ht="15.75" customHeight="1" thickTop="1" thickBot="1">
      <c r="A21" s="940" t="str">
        <f>Datos!A21</f>
        <v>TOTAL JURISDICCIONES</v>
      </c>
      <c r="B21" s="955">
        <f>IF(ISNUMBER(NºAsuntos!G21/NºAsuntos!E21),NºAsuntos!G21/NºAsuntos!E21," - ")</f>
        <v>0.82654841523698752</v>
      </c>
      <c r="C21" s="956">
        <f>IF(ISNUMBER(NºAsuntos!I21/NºAsuntos!G21),NºAsuntos!I21/NºAsuntos!G21," - ")</f>
        <v>1.4339489885664027</v>
      </c>
      <c r="D21" s="957">
        <f>IF(ISNUMBER('Resol  Asuntos'!D21/NºAsuntos!G21),'Resol  Asuntos'!D21/NºAsuntos!G21," - ")</f>
        <v>0.12752858399296393</v>
      </c>
      <c r="E21" s="958">
        <f>IF(ISNUMBER((NºAsuntos!C21+NºAsuntos!E21)/NºAsuntos!G21),(NºAsuntos!C21+NºAsuntos!E21)/NºAsuntos!G21," - ")</f>
        <v>2.4260334212840808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FIs6sFs0lQIxC8CoNDSrclkSCSoG5uWzyxQ0aCuCOxxokUXrjDRemenUPahkY5NIrMbWAOdkOYEe09R3gM5Ulw==" saltValue="z4+MWbTY13JST+4GPpPaC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CANARIAS</v>
      </c>
      <c r="G2" s="340"/>
      <c r="H2" s="339"/>
      <c r="I2" s="339"/>
      <c r="J2" s="339"/>
      <c r="K2" s="339"/>
      <c r="L2" s="339" t="str">
        <f>Criterios!A10 &amp;"  "&amp;Criterios!B10</f>
        <v>Provincias  LAS PALMAS</v>
      </c>
      <c r="N2" s="339" t="str">
        <f>Criterios!A11 &amp;"  "&amp;Criterios!B11</f>
        <v>Resumenes por Partidos Judiciales  ARRECIFE</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640</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907</v>
      </c>
      <c r="AX5" s="1406" t="s">
        <v>355</v>
      </c>
      <c r="AY5" s="1406" t="s">
        <v>813</v>
      </c>
      <c r="AZ5" s="1406" t="s">
        <v>814</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5</v>
      </c>
      <c r="B9" s="182" t="s">
        <v>273</v>
      </c>
      <c r="C9" s="165" t="str">
        <f>Datos!A9</f>
        <v xml:space="preserve">Jdos. 1ª Instancia   </v>
      </c>
      <c r="D9" s="165"/>
      <c r="E9" s="1205">
        <f>IF(ISNUMBER(Datos!AQ9),Datos!AQ9," - ")</f>
        <v>5</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353</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329</v>
      </c>
      <c r="Y9" s="344">
        <f>SUM(W9:X9)</f>
        <v>329</v>
      </c>
      <c r="Z9" s="345" t="str">
        <f>IF(ISNUMBER(Datos!CC9),Datos!CC9," - ")</f>
        <v xml:space="preserve"> - </v>
      </c>
      <c r="AA9" s="342" t="str">
        <f>IF(ISNUMBER(IF(J_V="SI",Datos!L9,Datos!L9+Datos!AB9)-IF(Monitorios="SI",Datos!CD9,0)),
                          IF(J_V="SI",Datos!L9,Datos!L9+Datos!AB9)-IF(Monitorios="SI",Datos!CD9,0),
                          " - ")</f>
        <v xml:space="preserve"> - </v>
      </c>
      <c r="AB9" s="344">
        <f>IF(ISNUMBER(Datos!R9),Datos!R9," - ")</f>
        <v>6824</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287</v>
      </c>
      <c r="AJ9" s="234" t="str">
        <f>IF(ISNUMBER(Datos!BW9),Datos!BW9," - ")</f>
        <v xml:space="preserve"> - </v>
      </c>
      <c r="AK9" s="233" t="str">
        <f>IF(ISNUMBER(Datos!BX9),Datos!BX9," - ")</f>
        <v xml:space="preserve"> - </v>
      </c>
      <c r="AL9" s="248">
        <f>IF(ISNUMBER(NºAsuntos!G9/NºAsuntos!E9),NºAsuntos!G9/NºAsuntos!E9," - ")</f>
        <v>0.65782828282828287</v>
      </c>
      <c r="AM9" s="265">
        <f>IF(ISNUMBER(((NºAsuntos!I9/NºAsuntos!G9)*11)/factor_trimestre),((NºAsuntos!I9/NºAsuntos!G9)*11)/factor_trimestre," - ")</f>
        <v>9.13531669865643</v>
      </c>
      <c r="AN9" s="249">
        <f>IF(ISNUMBER('Resol  Asuntos'!D9/NºAsuntos!G9),'Resol  Asuntos'!D9/NºAsuntos!G9," - ")</f>
        <v>0.13771593090211132</v>
      </c>
      <c r="AO9" s="250">
        <f>IF(ISNUMBER((NºAsuntos!C9+NºAsuntos!E9)/NºAsuntos!G9),(NºAsuntos!C9+NºAsuntos!E9)/NºAsuntos!G9," - ")</f>
        <v>4.04510556621881</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11</v>
      </c>
      <c r="G10" s="343">
        <f>IF(ISNUMBER(Datos!I10),Datos!I10," - ")</f>
        <v>11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7</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27</v>
      </c>
      <c r="X10" s="231">
        <f>IF(ISNUMBER(Datos!Q10),Datos!Q10," - ")</f>
        <v>2</v>
      </c>
      <c r="Y10" s="344">
        <f t="shared" ref="Y10:Y13" si="0">SUM(W10:X10)</f>
        <v>29</v>
      </c>
      <c r="Z10" s="345" t="str">
        <f>IF(ISNUMBER(Datos!CC10),Datos!CC10," - ")</f>
        <v xml:space="preserve"> - </v>
      </c>
      <c r="AA10" s="342">
        <f>IF(ISNUMBER(Datos!L10),Datos!L10,"-")</f>
        <v>13</v>
      </c>
      <c r="AB10" s="344">
        <f>IF(ISNUMBER(Datos!R10),Datos!R10," - ")</f>
        <v>26</v>
      </c>
      <c r="AC10" s="344">
        <f t="shared" ref="AC10:AC13" si="1">IF(ISNUMBER(AA10+AB10),AA10+AB10," - ")</f>
        <v>39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10</v>
      </c>
      <c r="AJ10" s="236" t="str">
        <f>IF(ISNUMBER(Datos!BW10),Datos!BW10," - ")</f>
        <v xml:space="preserve"> - </v>
      </c>
      <c r="AK10" s="237" t="str">
        <f>IF(ISNUMBER(Datos!BX10),Datos!BX10," - ")</f>
        <v xml:space="preserve"> - </v>
      </c>
      <c r="AL10" s="248">
        <f>IF(ISNUMBER(NºAsuntos!G10/NºAsuntos!E10),NºAsuntos!G10/NºAsuntos!E10," - ")</f>
        <v>0.93103448275862066</v>
      </c>
      <c r="AM10" s="265">
        <f>IF(ISNUMBER(((NºAsuntos!I10/NºAsuntos!G10)*11)/factor_trimestre),((NºAsuntos!I10/NºAsuntos!G10)*11)/factor_trimestre," - ")</f>
        <v>1.4444444444444444</v>
      </c>
      <c r="AN10" s="249">
        <f>IF(ISNUMBER('Resol  Asuntos'!D10/NºAsuntos!G10),'Resol  Asuntos'!D10/NºAsuntos!G10," - ")</f>
        <v>0.37037037037037035</v>
      </c>
      <c r="AO10" s="250">
        <f>IF(ISNUMBER((NºAsuntos!C10+NºAsuntos!E10)/NºAsuntos!G10),(NºAsuntos!C10+NºAsuntos!E10)/NºAsuntos!G10," - ")</f>
        <v>1.4814814814814814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12</v>
      </c>
      <c r="Y12" s="344">
        <f t="shared" si="0"/>
        <v>12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658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0</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11</v>
      </c>
      <c r="G14" s="1013">
        <f t="shared" si="5"/>
        <v>11</v>
      </c>
      <c r="H14" s="1012">
        <f t="shared" si="5"/>
        <v>0</v>
      </c>
      <c r="I14" s="1014">
        <f t="shared" si="5"/>
        <v>0</v>
      </c>
      <c r="J14" s="1014">
        <f t="shared" si="5"/>
        <v>0</v>
      </c>
      <c r="K14" s="1014">
        <f t="shared" si="5"/>
        <v>0</v>
      </c>
      <c r="L14" s="1014">
        <f t="shared" si="5"/>
        <v>369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27</v>
      </c>
      <c r="X14" s="1014">
        <f t="shared" si="6"/>
        <v>343</v>
      </c>
      <c r="Y14" s="1015">
        <f t="shared" si="6"/>
        <v>370</v>
      </c>
      <c r="Z14" s="1015">
        <f t="shared" si="6"/>
        <v>0</v>
      </c>
      <c r="AA14" s="1015">
        <f t="shared" si="6"/>
        <v>13</v>
      </c>
      <c r="AB14" s="1015">
        <f t="shared" si="6"/>
        <v>7508</v>
      </c>
      <c r="AC14" s="1015">
        <f t="shared" si="6"/>
        <v>39</v>
      </c>
      <c r="AD14" s="1015">
        <f t="shared" si="6"/>
        <v>0</v>
      </c>
      <c r="AE14" s="1019">
        <f t="shared" si="6"/>
        <v>0</v>
      </c>
      <c r="AF14" s="1012">
        <f t="shared" si="6"/>
        <v>0</v>
      </c>
      <c r="AG14" s="1020">
        <f t="shared" si="6"/>
        <v>0</v>
      </c>
      <c r="AH14" s="1017">
        <f t="shared" si="6"/>
        <v>0</v>
      </c>
      <c r="AI14" s="1012">
        <f t="shared" si="6"/>
        <v>297</v>
      </c>
      <c r="AJ14" s="1014">
        <f t="shared" si="6"/>
        <v>0</v>
      </c>
      <c r="AK14" s="1017">
        <f>SUBTOTAL(9,AK9:AK13)</f>
        <v>0</v>
      </c>
      <c r="AL14" s="1021">
        <f>IF(ISNUMBER(NºAsuntos!G14/NºAsuntos!E14),NºAsuntos!G14/NºAsuntos!E14," - ")</f>
        <v>0.66030653737879264</v>
      </c>
      <c r="AM14" s="1021">
        <f>IF(ISNUMBER(((NºAsuntos!I14/NºAsuntos!G14)*11)/factor_trimestre),((NºAsuntos!I14/NºAsuntos!G14)*11)/factor_trimestre," - ")</f>
        <v>9.0383704405495031</v>
      </c>
      <c r="AN14" s="1022">
        <f>IF(ISNUMBER('Resol  Asuntos'!D14/NºAsuntos!G14),'Resol  Asuntos'!D14/NºAsuntos!G14," - ")</f>
        <v>0.14069161534817623</v>
      </c>
      <c r="AO14" s="1023">
        <f>IF(ISNUMBER((NºAsuntos!C14+NºAsuntos!E14)/NºAsuntos!G14),(NºAsuntos!C14+NºAsuntos!E14)/NºAsuntos!G14," - ")</f>
        <v>4.0127901468498344</v>
      </c>
      <c r="AP14" s="1024" t="str">
        <f t="shared" si="2"/>
        <v xml:space="preserve"> - </v>
      </c>
      <c r="AQ14" s="1024">
        <f>IF(ISNUMBER((H14-W14+K14)/(F14)),(H14-W14+K14)/(F14)," - ")</f>
        <v>-2.4545454545454546</v>
      </c>
      <c r="AR14" s="1025">
        <f>IF(ISNUMBER((Datos!P14-Datos!Q14)/(Datos!R14-Datos!P14+Datos!Q14)),(Datos!P14-Datos!Q14)/(Datos!R14-Datos!P14+Datos!Q14)," - ")</f>
        <v>3.475006682705159E-3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4</v>
      </c>
      <c r="B16" s="280" t="s">
        <v>437</v>
      </c>
      <c r="C16" s="165" t="str">
        <f>Datos!A16</f>
        <v xml:space="preserve">Jdos. Instrucción                               </v>
      </c>
      <c r="D16" s="165"/>
      <c r="E16" s="1205">
        <f>IF(ISNUMBER(Datos!AQ16),Datos!AQ16," - ")</f>
        <v>4</v>
      </c>
      <c r="F16" s="230">
        <f>IF(ISNUMBER(AA16+W16-Datos!J16-K16),AA16+W16-Datos!J16-K16," - ")</f>
        <v>1572</v>
      </c>
      <c r="G16" s="343">
        <f>IF(ISNUMBER(IF(D_I="SI",Datos!I16,Datos!I16+Datos!AC16)),IF(D_I="SI",Datos!I16,Datos!I16+Datos!AC16)," - ")</f>
        <v>1531</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57</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3420</v>
      </c>
      <c r="X16" s="231">
        <f>IF(ISNUMBER(Datos!Q16),Datos!Q16," - ")</f>
        <v>73</v>
      </c>
      <c r="Y16" s="344">
        <f>SUM(W16)</f>
        <v>3420</v>
      </c>
      <c r="Z16" s="345" t="str">
        <f>IF(ISNUMBER(Datos!CC16),Datos!CC16," - ")</f>
        <v xml:space="preserve"> - </v>
      </c>
      <c r="AA16" s="342">
        <f>IF(ISNUMBER(IF(D_I="SI",Datos!L16,Datos!L16+Datos!AF16)),IF(D_I="SI",Datos!L16,Datos!L16+Datos!AF16)," - ")</f>
        <v>1691</v>
      </c>
      <c r="AB16" s="344">
        <f>IF(ISNUMBER(Datos!R16),Datos!R16," - ")</f>
        <v>385</v>
      </c>
      <c r="AC16" s="344">
        <f t="shared" ref="AC16:AC19" si="8">IF(ISNUMBER(AA16+AB16),AA16+AB16," - ")</f>
        <v>2076</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387</v>
      </c>
      <c r="AJ16" s="236" t="str">
        <f>IF(ISNUMBER(Datos!BW16),Datos!BW16," - ")</f>
        <v xml:space="preserve"> - </v>
      </c>
      <c r="AK16" s="237" t="str">
        <f>IF(ISNUMBER(Datos!BX16),Datos!BX16," - ")</f>
        <v xml:space="preserve"> - </v>
      </c>
      <c r="AL16" s="248">
        <f>IF(ISNUMBER(NºAsuntos!G16/NºAsuntos!E16),NºAsuntos!G16/NºAsuntos!E16," - ")</f>
        <v>0.96637468211359145</v>
      </c>
      <c r="AM16" s="265">
        <f>IF(ISNUMBER(((NºAsuntos!I16/NºAsuntos!G16)*11)/factor_trimestre),((NºAsuntos!I16/NºAsuntos!G16)*11)/factor_trimestre," - ")</f>
        <v>1.4833333333333334</v>
      </c>
      <c r="AN16" s="249">
        <f>IF(ISNUMBER('Resol  Asuntos'!D16/NºAsuntos!G16),'Resol  Asuntos'!D16/NºAsuntos!G16," - ")</f>
        <v>0.11315789473684211</v>
      </c>
      <c r="AO16" s="250">
        <f>IF(ISNUMBER((NºAsuntos!C16+NºAsuntos!E16)/NºAsuntos!G16),(NºAsuntos!C16+NºAsuntos!E16)/NºAsuntos!G16," - ")</f>
        <v>1.4824561403508771</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f>IF(ISNUMBER(AA17+W17-Datos!J17-K17),AA17+W17-Datos!J17-K17," - ")</f>
        <v>1</v>
      </c>
      <c r="G17" s="343">
        <f>IF(ISNUMBER(IF(D_I="SI",Datos!I17,Datos!I17+Datos!AC17)),IF(D_I="SI",Datos!I17,Datos!I17+Datos!AC17)," - ")</f>
        <v>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0</v>
      </c>
      <c r="X17" s="231">
        <f>IF(ISNUMBER(Datos!Q17),Datos!Q17," - ")</f>
        <v>0</v>
      </c>
      <c r="Y17" s="344">
        <f t="shared" ref="Y17:Y19" si="9">SUM(W17:X17)</f>
        <v>0</v>
      </c>
      <c r="Z17" s="345" t="str">
        <f>IF(ISNUMBER(Datos!CC17),Datos!CC17," - ")</f>
        <v xml:space="preserve"> - </v>
      </c>
      <c r="AA17" s="342">
        <f>IF(ISNUMBER(IF(D_I="SI",Datos!L17,Datos!L17+Datos!AF17)),IF(D_I="SI",Datos!L17,Datos!L17+Datos!AF17)," - ")</f>
        <v>1</v>
      </c>
      <c r="AB17" s="344">
        <f>IF(ISNUMBER(Datos!R17),Datos!R17," - ")</f>
        <v>0</v>
      </c>
      <c r="AC17" s="344">
        <f t="shared" si="8"/>
        <v>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0</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108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154</v>
      </c>
      <c r="X18" s="231">
        <f>IF(ISNUMBER(Datos!Q18),Datos!Q18," - ")</f>
        <v>3</v>
      </c>
      <c r="Y18" s="344">
        <f t="shared" si="9"/>
        <v>157</v>
      </c>
      <c r="Z18" s="345" t="str">
        <f>IF(ISNUMBER(Datos!CC18),Datos!CC18," - ")</f>
        <v xml:space="preserve"> - </v>
      </c>
      <c r="AA18" s="342">
        <f>IF(ISNUMBER(Datos!L18),Datos!L18,"-")</f>
        <v>100</v>
      </c>
      <c r="AB18" s="344">
        <f>IF(ISNUMBER(Datos!R18),Datos!R18," - ")</f>
        <v>33</v>
      </c>
      <c r="AC18" s="344">
        <f t="shared" si="8"/>
        <v>133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41</v>
      </c>
      <c r="AJ18" s="236" t="str">
        <f>IF(ISNUMBER(Datos!BW18),Datos!BW18," - ")</f>
        <v xml:space="preserve"> - </v>
      </c>
      <c r="AK18" s="237" t="str">
        <f>IF(ISNUMBER(Datos!BX18),Datos!BX18," - ")</f>
        <v xml:space="preserve"> - </v>
      </c>
      <c r="AL18" s="248">
        <f>IF(ISNUMBER(NºAsuntos!G18/NºAsuntos!E18),NºAsuntos!G18/NºAsuntos!E18," - ")</f>
        <v>1.0845070422535212</v>
      </c>
      <c r="AM18" s="265">
        <f>IF(ISNUMBER(((NºAsuntos!I18/NºAsuntos!G18)*11)/factor_trimestre),((NºAsuntos!I18/NºAsuntos!G18)*11)/factor_trimestre," - ")</f>
        <v>1.948051948051948</v>
      </c>
      <c r="AN18" s="249">
        <f>IF(ISNUMBER('Resol  Asuntos'!D18/NºAsuntos!G18),'Resol  Asuntos'!D18/NºAsuntos!G18," - ")</f>
        <v>0.26623376623376621</v>
      </c>
      <c r="AO18" s="250">
        <f>IF(ISNUMBER((NºAsuntos!C18+NºAsuntos!E18)/NºAsuntos!G18),(NºAsuntos!C18+NºAsuntos!E18)/NºAsuntos!G18," - ")</f>
        <v>1.6233766233766234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1573</v>
      </c>
      <c r="G20" s="1013">
        <f>SUBTOTAL(9,G16:G19)</f>
        <v>1640</v>
      </c>
      <c r="H20" s="1012">
        <f t="shared" ref="H20:O20" si="12">SUBTOTAL(9,H15:H19)</f>
        <v>0</v>
      </c>
      <c r="I20" s="1014">
        <f t="shared" si="12"/>
        <v>0</v>
      </c>
      <c r="J20" s="1014">
        <f t="shared" si="12"/>
        <v>0</v>
      </c>
      <c r="K20" s="1014">
        <f t="shared" si="12"/>
        <v>0</v>
      </c>
      <c r="L20" s="1014">
        <f t="shared" si="12"/>
        <v>57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3574</v>
      </c>
      <c r="X20" s="1014">
        <f t="shared" si="13"/>
        <v>76</v>
      </c>
      <c r="Y20" s="1015">
        <f t="shared" si="13"/>
        <v>3577</v>
      </c>
      <c r="Z20" s="1015">
        <f t="shared" si="13"/>
        <v>0</v>
      </c>
      <c r="AA20" s="1015">
        <f t="shared" si="13"/>
        <v>1792</v>
      </c>
      <c r="AB20" s="1015">
        <f t="shared" si="13"/>
        <v>418</v>
      </c>
      <c r="AC20" s="1015">
        <f t="shared" si="13"/>
        <v>2210</v>
      </c>
      <c r="AD20" s="1015">
        <f t="shared" si="13"/>
        <v>0</v>
      </c>
      <c r="AE20" s="1019">
        <f t="shared" si="13"/>
        <v>0</v>
      </c>
      <c r="AF20" s="1012">
        <f t="shared" si="13"/>
        <v>0</v>
      </c>
      <c r="AG20" s="1020">
        <f t="shared" si="13"/>
        <v>0</v>
      </c>
      <c r="AH20" s="1017">
        <f t="shared" si="13"/>
        <v>0</v>
      </c>
      <c r="AI20" s="1012">
        <f t="shared" si="13"/>
        <v>428</v>
      </c>
      <c r="AJ20" s="1014">
        <f t="shared" si="13"/>
        <v>0</v>
      </c>
      <c r="AK20" s="1017">
        <f t="shared" si="13"/>
        <v>0</v>
      </c>
      <c r="AL20" s="1021">
        <f>IF(ISNUMBER(NºAsuntos!G20/NºAsuntos!E20),NºAsuntos!G20/NºAsuntos!E20," - ")</f>
        <v>0.97093181200760659</v>
      </c>
      <c r="AM20" s="1021">
        <f>IF(ISNUMBER(((NºAsuntos!I20/NºAsuntos!G20)*11)/factor_trimestre),((NºAsuntos!I20/NºAsuntos!G20)*11)/factor_trimestre," - ")</f>
        <v>1.5041969781757134</v>
      </c>
      <c r="AN20" s="1022">
        <f>IF(ISNUMBER('Resol  Asuntos'!D20/NºAsuntos!G20),'Resol  Asuntos'!D20/NºAsuntos!G20," - ")</f>
        <v>0.11975377728035815</v>
      </c>
      <c r="AO20" s="1023">
        <f>IF(ISNUMBER((NºAsuntos!C20+NºAsuntos!E20)/NºAsuntos!G20),(NºAsuntos!C20+NºAsuntos!E20)/NºAsuntos!G20," - ")</f>
        <v>1.4888080581980974</v>
      </c>
      <c r="AP20" s="1024" t="str">
        <f t="shared" si="2"/>
        <v xml:space="preserve"> - </v>
      </c>
      <c r="AQ20" s="1024">
        <f>IF(ISNUMBER((H20-W20+K20)/(F20)),(H20-W20+K20)/(F20)," - ")</f>
        <v>-2.2720915448188177</v>
      </c>
      <c r="AR20" s="1025">
        <f>IF(ISNUMBER((Datos!P20-Datos!Q20)/(Datos!R20-Datos!P20+Datos!Q20)),(Datos!P20-Datos!Q20)/(Datos!R20-Datos!P20+Datos!Q20)," - ")</f>
        <v>-4.3478260869565216E-2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9</v>
      </c>
      <c r="F21" s="967">
        <f t="shared" si="15"/>
        <v>1584</v>
      </c>
      <c r="G21" s="968">
        <f t="shared" si="15"/>
        <v>1651</v>
      </c>
      <c r="H21" s="967">
        <f t="shared" si="15"/>
        <v>0</v>
      </c>
      <c r="I21" s="969">
        <f t="shared" si="15"/>
        <v>0</v>
      </c>
      <c r="J21" s="969">
        <f t="shared" si="15"/>
        <v>0</v>
      </c>
      <c r="K21" s="1028">
        <f t="shared" si="15"/>
        <v>0</v>
      </c>
      <c r="L21" s="969">
        <f t="shared" si="15"/>
        <v>426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3601</v>
      </c>
      <c r="X21" s="968">
        <f t="shared" si="16"/>
        <v>419</v>
      </c>
      <c r="Y21" s="975">
        <f t="shared" si="16"/>
        <v>3947</v>
      </c>
      <c r="Z21" s="975">
        <f t="shared" si="16"/>
        <v>0</v>
      </c>
      <c r="AA21" s="975">
        <f t="shared" si="16"/>
        <v>1805</v>
      </c>
      <c r="AB21" s="975">
        <f t="shared" si="16"/>
        <v>7926</v>
      </c>
      <c r="AC21" s="975">
        <f t="shared" si="16"/>
        <v>2249</v>
      </c>
      <c r="AD21" s="975">
        <f t="shared" si="16"/>
        <v>0</v>
      </c>
      <c r="AE21" s="977">
        <f t="shared" si="16"/>
        <v>0</v>
      </c>
      <c r="AF21" s="978">
        <f t="shared" si="16"/>
        <v>0</v>
      </c>
      <c r="AG21" s="979">
        <f t="shared" si="16"/>
        <v>0</v>
      </c>
      <c r="AH21" s="977">
        <f t="shared" si="16"/>
        <v>0</v>
      </c>
      <c r="AI21" s="967">
        <f t="shared" si="16"/>
        <v>725</v>
      </c>
      <c r="AJ21" s="967">
        <f t="shared" si="16"/>
        <v>0</v>
      </c>
      <c r="AK21" s="977">
        <f t="shared" si="16"/>
        <v>0</v>
      </c>
      <c r="AL21" s="1031">
        <f>IF(ISNUMBER(NºAsuntos!G21/NºAsuntos!E21),NºAsuntos!G21/NºAsuntos!E21," - ")</f>
        <v>0.82654841523698752</v>
      </c>
      <c r="AM21" s="1032">
        <f>IF(ISNUMBER(((NºAsuntos!I21/NºAsuntos!G21)*11)/factor_trimestre),((NºAsuntos!I21/NºAsuntos!G21)*11)/factor_trimestre," - ")</f>
        <v>4.3018469656992089</v>
      </c>
      <c r="AN21" s="1032">
        <f>IF(ISNUMBER('Resol  Asuntos'!D21/NºAsuntos!G21),'Resol  Asuntos'!D21/NºAsuntos!G21," - ")</f>
        <v>0.12752858399296393</v>
      </c>
      <c r="AO21" s="1033">
        <f>IF(ISNUMBER((NºAsuntos!C21+NºAsuntos!E21)/NºAsuntos!G21),(NºAsuntos!C21+NºAsuntos!E21)/NºAsuntos!G21," - ")</f>
        <v>2.4260334212840808</v>
      </c>
      <c r="AP21" s="1034" t="str">
        <f t="shared" si="2"/>
        <v xml:space="preserve"> - </v>
      </c>
      <c r="AQ21" s="1035">
        <f>IF(OR(ISNUMBER(FIND("01",Criterios!A8,1)),ISNUMBER(FIND("02",Criterios!A8,1)),ISNUMBER(FIND("03",Criterios!A8,1)),ISNUMBER(FIND("04",Criterios!A8,1))),(I21-W21+K21)/(F21-K21),(H21-W21+K21)/(F21-K21))</f>
        <v>-2.2733585858585861</v>
      </c>
      <c r="AR21" s="1036">
        <f>IF(ISNUMBER((Datos!P21-Datos!Q21)/(Datos!R21-Datos!P21+Datos!Q21)),(Datos!P21-Datos!Q21)/(Datos!R21-Datos!P21+Datos!Q21)," - ")</f>
        <v>8.8394999368607145E-4</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550.33333333333337</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2.2922795323750234</v>
      </c>
      <c r="F23" s="257">
        <f>IF(ISNUMBER(STDEV(F8:F20)),STDEV(F8:F20),"-")</f>
        <v>857.10431103804399</v>
      </c>
      <c r="G23" s="258">
        <f>IF(ISNUMBER(STDEV(G8:G20)),STDEV(G8:G20),"-")</f>
        <v>803.52564779642637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1780.4633853765897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186.12572555744603</v>
      </c>
      <c r="AJ23" s="257">
        <f t="shared" si="20"/>
        <v>0</v>
      </c>
      <c r="AK23" s="259">
        <f t="shared" si="20"/>
        <v>0</v>
      </c>
      <c r="AL23" s="254">
        <f t="shared" si="20"/>
        <v>0.177633761884052</v>
      </c>
      <c r="AM23" s="255">
        <f t="shared" si="20"/>
        <v>3.8732300033767997</v>
      </c>
      <c r="AN23" s="255">
        <f t="shared" si="20"/>
        <v>0.10424852611816519</v>
      </c>
      <c r="AO23" s="256">
        <f t="shared" si="20"/>
        <v>1.2972779917723087</v>
      </c>
      <c r="AP23" s="296" t="str">
        <f t="shared" si="20"/>
        <v>-</v>
      </c>
      <c r="AQ23" s="297">
        <f t="shared" si="20"/>
        <v>0.12901439682170313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UHQLjORvGy4vkMDX1YFKGZsb+Hl0huoYi+34SXyp1rzBNgE0bOk+tDFO0bAkObsWIbfXh23D6uoS8Dfwlux0FQ==" saltValue="VlT0MU9MK6JI6XE+3ZYl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CANARIAS</v>
      </c>
      <c r="E2" s="268"/>
    </row>
    <row r="3" spans="2:20" ht="17.25" customHeight="1">
      <c r="C3" s="272"/>
      <c r="D3" s="267" t="str">
        <f>Criterios!A10 &amp;"  "&amp;Criterios!B10</f>
        <v>Provincias  LAS PALMAS</v>
      </c>
      <c r="E3" s="268"/>
    </row>
    <row r="4" spans="2:20" ht="17.25" customHeight="1" thickBot="1">
      <c r="D4" s="267" t="str">
        <f>Criterios!A11 &amp;"  "&amp;Criterios!B11</f>
        <v>Resumenes por Partidos Judiciales  ARRECIFE</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-0.28249999999999997</v>
      </c>
      <c r="I9" s="360">
        <f>IF(ISNUMBER((Tasas!C9-Datos!BE9)/Datos!BE9),(Tasas!C9-Datos!BE9)/Datos!BE9," - ")</f>
        <v>0.64494234715140175</v>
      </c>
      <c r="J9" s="359">
        <f>IF(ISNUMBER((Tasas!D9-Datos!BF9)/Datos!BF9),(Tasas!D9-Datos!BF9)/Datos!BF9," - ")</f>
        <v>-0.76431038261527939</v>
      </c>
      <c r="K9" s="361">
        <f>IF(ISNUMBER((Tasas!E9-Datos!BG9)/Datos!BG9),(Tasas!E9-Datos!BG9)/Datos!BG9," - ")</f>
        <v>0.41874146436804949</v>
      </c>
      <c r="M9" t="e">
        <f>IF(Monitorios="SI",Datos!CE9,0)</f>
        <v>#REF!</v>
      </c>
      <c r="N9" t="e">
        <f>IF(Monitorios="SI",Datos!CF9,0)</f>
        <v>#REF!</v>
      </c>
      <c r="O9" t="e">
        <f>IF(Monitorios="SI",Datos!CG9,0)</f>
        <v>#REF!</v>
      </c>
      <c r="P9" t="e">
        <f>IF(Monitorios="SI",Datos!CH9,0)</f>
        <v>#REF!</v>
      </c>
      <c r="Q9">
        <f>IF(J_V="SI",0,Datos!AG9)</f>
        <v>134</v>
      </c>
      <c r="R9">
        <f>IF(J_V="SI",0,Datos!AH9)</f>
        <v>163</v>
      </c>
      <c r="S9">
        <f>IF(J_V="SI",0,Datos!AI9)</f>
        <v>128</v>
      </c>
      <c r="T9">
        <f>IF(J_V="SI",0,Datos!AJ9)</f>
        <v>164</v>
      </c>
    </row>
    <row r="10" spans="2:20" ht="14.25">
      <c r="B10" s="280" t="s">
        <v>273</v>
      </c>
      <c r="C10" s="7" t="str">
        <f>Datos!A10</f>
        <v>Jdos. Violencia contra la mujer</v>
      </c>
      <c r="D10" s="362">
        <f>IF(ISNUMBER((Datos!I10-Datos!S10)/Datos!S10),(Datos!I10-Datos!S10)/Datos!S10," - ")</f>
        <v>-0.56000000000000005</v>
      </c>
      <c r="E10" s="358">
        <f>IF(ISNUMBER((Datos!J10-Datos!T10)/Datos!T10),(Datos!J10-Datos!T10)/Datos!T10," - ")</f>
        <v>-6.4516129032258063E-2</v>
      </c>
      <c r="F10" s="358">
        <f>IF(ISNUMBER((Datos!K10-Datos!U10)/Datos!U10),(Datos!K10-Datos!U10)/Datos!U10," - ")</f>
        <v>-0.12903225806451613</v>
      </c>
      <c r="G10" s="359">
        <f>IF(ISNUMBER((Datos!L10-Datos!V10)/Datos!V10),(Datos!L10-Datos!V10)/Datos!V10," - ")</f>
        <v>-0.48</v>
      </c>
      <c r="H10" s="235">
        <f>IF(ISNUMBER((Datos!M10-Datos!W10)/Datos!W10),(Datos!M10-Datos!W10)/Datos!W10," - ")</f>
        <v>-9.0909090909090912E-2</v>
      </c>
      <c r="I10" s="360">
        <f>IF(ISNUMBER((Tasas!C10-Datos!BE10)/Datos!BE10),(Tasas!C10-Datos!BE10)/Datos!BE10," - ")</f>
        <v>-0.40296296296296297</v>
      </c>
      <c r="J10" s="359">
        <f>IF(ISNUMBER((Tasas!D10-Datos!BF10)/Datos!BF10),(Tasas!D10-Datos!BF10)/Datos!BF10," - ")</f>
        <v>4.3771043771043662E-2</v>
      </c>
      <c r="K10" s="361">
        <f>IF(ISNUMBER((Tasas!E10-Datos!BG10)/Datos!BG10),(Tasas!E10-Datos!BG10)/Datos!BG10," - ")</f>
        <v>-0.17989417989417991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-0.27737226277372262</v>
      </c>
      <c r="I14" s="367">
        <f>IF(ISNUMBER((Tasas!C14-Datos!BE14)/Datos!BE14),(Tasas!C14-Datos!BE14)/Datos!BE14," - ")</f>
        <v>0.63858091392527916</v>
      </c>
      <c r="J14" s="365">
        <f>IF(ISNUMBER((Tasas!D14-Datos!BF14)/Datos!BF14),(Tasas!D14-Datos!BF14)/Datos!BF14," - ")</f>
        <v>-0.75804134283527935</v>
      </c>
      <c r="K14" s="368">
        <f>IF(ISNUMBER((Tasas!E14-Datos!BG14)/Datos!BG14),(Tasas!E14-Datos!BG14)/Datos!BG14," - ")</f>
        <v>0.41362219016769619</v>
      </c>
      <c r="M14" t="e">
        <f>IF(Monitorios="SI",Datos!CE14,0)</f>
        <v>#REF!</v>
      </c>
      <c r="N14" t="e">
        <f>IF(Monitorios="SI",Datos!CF14,0)</f>
        <v>#REF!</v>
      </c>
      <c r="O14" t="e">
        <f>IF(Monitorios="SI",Datos!CG14,0)</f>
        <v>#REF!</v>
      </c>
      <c r="P14" t="e">
        <f>IF(Monitorios="SI",Datos!CH14,0)</f>
        <v>#REF!</v>
      </c>
      <c r="Q14">
        <f>IF(J_V="SI",0,Datos!AG14)</f>
        <v>134</v>
      </c>
      <c r="R14">
        <f>IF(J_V="SI",0,Datos!AH14)</f>
        <v>163</v>
      </c>
      <c r="S14">
        <f>IF(J_V="SI",0,Datos!AI14)</f>
        <v>128</v>
      </c>
      <c r="T14">
        <f>IF(J_V="SI",0,Datos!AJ14)</f>
        <v>164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4.5051194539249148E-2</v>
      </c>
      <c r="E16" s="358">
        <f>IF(ISNUMBER(
   IF(D_I="SI",(Datos!J16-Datos!T16)/Datos!T16,(Datos!J16+Datos!AD16-(Datos!T16+Datos!AL16))/(Datos!T16+Datos!AL16))
     ),IF(D_I="SI",(Datos!J16-Datos!T16)/Datos!T16,(Datos!J16+Datos!AD16-(Datos!T16+Datos!AL16))/(Datos!T16+Datos!AL16))," - ")</f>
        <v>9.9885844748858442E-3</v>
      </c>
      <c r="F16" s="358">
        <f>IF(ISNUMBER(
   IF(D_I="SI",(Datos!K16-Datos!U16)/Datos!U16,(Datos!K16+Datos!AE16-(Datos!U16+Datos!AM16))/(Datos!U16+Datos!AM16))
     ),IF(D_I="SI",(Datos!K16-Datos!U16)/Datos!U16,(Datos!K16+Datos!AE16-(Datos!U16+Datos!AM16))/(Datos!U16+Datos!AM16))," - ")</f>
        <v>-1.5260581629714944E-2</v>
      </c>
      <c r="G16" s="359">
        <f>IF(ISNUMBER(
   IF(D_I="SI",(Datos!L16-Datos!V16)/Datos!V16,(Datos!L16+Datos!AF16-(Datos!V16+Datos!AN16))/(Datos!V16+Datos!AN16))
     ),IF(D_I="SI",(Datos!L16-Datos!V16)/Datos!V16,(Datos!L16+Datos!AF16-(Datos!V16+Datos!AN16))/(Datos!V16+Datos!AN16))," - ")</f>
        <v>9.5917044718081657E-2</v>
      </c>
      <c r="H16" s="235">
        <f>IF(ISNUMBER((Datos!M16-Datos!W16)/Datos!W16),(Datos!M16-Datos!W16)/Datos!W16," - ")</f>
        <v>-1.2755102040816327E-2</v>
      </c>
      <c r="I16" s="360">
        <f>IF(ISNUMBER((Tasas!C16-Datos!BE16)/Datos!BE16),(Tasas!C16-Datos!BE16)/Datos!BE16," - ")</f>
        <v>0.11290055447540867</v>
      </c>
      <c r="J16" s="359">
        <f>IF(ISNUMBER((Tasas!D16-Datos!BF16)/Datos!BF16),(Tasas!D16-Datos!BF16)/Datos!BF16," - ")</f>
        <v>2.5443071965628606E-3</v>
      </c>
      <c r="K16" s="361">
        <f>IF(ISNUMBER((Tasas!E16-Datos!BG16)/Datos!BG16),(Tasas!E16-Datos!BG16)/Datos!BG16," - ")</f>
        <v>3.6138091253490934E-2</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f>IF(ISNUMBER(
   IF(D_I="SI",(Datos!L17-Datos!V17)/Datos!V17,(Datos!L17+Datos!AF17-(Datos!V17+Datos!AN17))/(Datos!V17+Datos!AN17))
     ),IF(D_I="SI",(Datos!L17-Datos!V17)/Datos!V17,(Datos!L17+Datos!AF17-(Datos!V17+Datos!AN17))/(Datos!V17+Datos!AN17))," - ")</f>
        <v>0</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-0.24475524475524477</v>
      </c>
      <c r="E18" s="358">
        <f>IF(ISNUMBER(
   IF(D_I="SI",(Datos!J18-Datos!T18)/Datos!T18,(Datos!J18+Datos!AD18-(Datos!T18+Datos!AL18))/(Datos!T18+Datos!AL18))
     ),IF(D_I="SI",(Datos!J18-Datos!T18)/Datos!T18,(Datos!J18+Datos!AD18-(Datos!T18+Datos!AL18))/(Datos!T18+Datos!AL18))," - ")</f>
        <v>0.10077519379844961</v>
      </c>
      <c r="F18" s="358">
        <f>IF(ISNUMBER(
   IF(D_I="SI",(Datos!K18-Datos!U18)/Datos!U18,(Datos!K18+Datos!AE18-(Datos!U18+Datos!AM18))/(Datos!U18+Datos!AM18))
     ),IF(D_I="SI",(Datos!K18-Datos!U18)/Datos!U18,(Datos!K18+Datos!AE18-(Datos!U18+Datos!AM18))/(Datos!U18+Datos!AM18))," - ")</f>
        <v>0.12408759124087591</v>
      </c>
      <c r="G18" s="359">
        <f>IF(ISNUMBER(
   IF(D_I="SI",(Datos!L18-Datos!V18)/Datos!V18,(Datos!L18+Datos!AF18-(Datos!V18+Datos!AN18))/(Datos!V18+Datos!AN18))
     ),IF(D_I="SI",(Datos!L18-Datos!V18)/Datos!V18,(Datos!L18+Datos!AF18-(Datos!V18+Datos!AN18))/(Datos!V18+Datos!AN18))," - ")</f>
        <v>-3.8461538461538464E-2</v>
      </c>
      <c r="H18" s="235">
        <f>IF(ISNUMBER((Datos!M18-Datos!W18)/Datos!W18),(Datos!M18-Datos!W18)/Datos!W18," - ")</f>
        <v>-0.10869565217391304</v>
      </c>
      <c r="I18" s="360">
        <f>IF(ISNUMBER((Tasas!C18-Datos!BE18)/Datos!BE18),(Tasas!C18-Datos!BE18)/Datos!BE18," - ")</f>
        <v>-0.14460539460539457</v>
      </c>
      <c r="J18" s="359">
        <f>IF(ISNUMBER((Tasas!D18-Datos!BF18)/Datos!BF18),(Tasas!D18-Datos!BF18)/Datos!BF18," - ")</f>
        <v>-0.20708639186900057</v>
      </c>
      <c r="K18" s="361">
        <f>IF(ISNUMBER((Tasas!E18-Datos!BG18)/Datos!BG18),(Tasas!E18-Datos!BG18)/Datos!BG18," - ")</f>
        <v>-0.18234339190221543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1.9266625233064015E-2</v>
      </c>
      <c r="E20" s="364">
        <f>IF(ISNUMBER(
   IF(D_I="SI",(Datos!J20-Datos!T20)/Datos!T20,(Datos!J20+Datos!AD20-(Datos!T20+Datos!AL20))/(Datos!T20+Datos!AL20))
     ),IF(D_I="SI",(Datos!J20-Datos!T20)/Datos!T20,(Datos!J20+Datos!AD20-(Datos!T20+Datos!AL20))/(Datos!T20+Datos!AL20))," - ")</f>
        <v>1.3212221304706853E-2</v>
      </c>
      <c r="F20" s="364">
        <f>IF(ISNUMBER(
   IF(D_I="SI",(Datos!K20-Datos!U20)/Datos!U20,(Datos!K20+Datos!AE20-(Datos!U20+Datos!AM20))/(Datos!U20+Datos!AM20))
     ),IF(D_I="SI",(Datos!K20-Datos!U20)/Datos!U20,(Datos!K20+Datos!AE20-(Datos!U20+Datos!AM20))/(Datos!U20+Datos!AM20))," - ")</f>
        <v>-9.9722991689750688E-3</v>
      </c>
      <c r="G20" s="365">
        <f>IF(ISNUMBER(
   IF(D_I="SI",(Datos!L20-Datos!V20)/Datos!V20,(Datos!L20+Datos!AF20-(Datos!V20+Datos!AN20))/(Datos!V20+Datos!AN20))
     ),IF(D_I="SI",(Datos!L20-Datos!V20)/Datos!V20,(Datos!L20+Datos!AF20-(Datos!V20+Datos!AN20))/(Datos!V20+Datos!AN20))," - ")</f>
        <v>8.7378640776699032E-2</v>
      </c>
      <c r="H20" s="366">
        <f>IF(ISNUMBER((Datos!M20-Datos!W20)/Datos!W20),(Datos!M20-Datos!W20)/Datos!W20," - ")</f>
        <v>-2.2831050228310501E-2</v>
      </c>
      <c r="I20" s="367">
        <f>IF(ISNUMBER((Tasas!C20-Datos!BE20)/Datos!BE20),(Tasas!C20-Datos!BE20)/Datos!BE20," - ")</f>
        <v>9.8331531394483307E-2</v>
      </c>
      <c r="J20" s="365">
        <f>IF(ISNUMBER((Tasas!D20-Datos!BF20)/Datos!BF20),(Tasas!D20-Datos!BF20)/Datos!BF20," - ")</f>
        <v>-1.2988274013486534E-2</v>
      </c>
      <c r="K20" s="368">
        <f>IF(ISNUMBER((Tasas!E20-Datos!BG20)/Datos!BG20),(Tasas!E20-Datos!BG20)/Datos!BG20," - ")</f>
        <v>2.5295133554965949E-2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0.15329441201000835</v>
      </c>
      <c r="E21" s="373">
        <f>IF(ISNUMBER(
   IF(J_V="SI",(Datos!J21-Datos!T21)/Datos!T21,(Datos!J21+Datos!Z21-(Datos!T21+Datos!AH21))/(Datos!T21+Datos!AH21))
     ),IF(J_V="SI",(Datos!J21-Datos!T21)/Datos!T21,(Datos!J21+Datos!Z21-(Datos!T21+Datos!AH21))/(Datos!T21+Datos!AH21))," - ")</f>
        <v>8.2297403619197476E-2</v>
      </c>
      <c r="F21" s="373">
        <f>IF(ISNUMBER(
   IF(J_V="SI",(Datos!K21-Datos!U21)/Datos!U21,(Datos!K21+Datos!AA21-(Datos!U21+Datos!AI21))/(Datos!U21+Datos!AI21))
     ),IF(J_V="SI",(Datos!K21-Datos!U21)/Datos!U21,(Datos!K21+Datos!AA21-(Datos!U21+Datos!AI21))/(Datos!U21+Datos!AI21))," - ")</f>
        <v>-7.0166830225711477E-2</v>
      </c>
      <c r="G21" s="374">
        <f>IF(ISNUMBER(
   IF(J_V="SI",(Datos!L21-Datos!V21)/Datos!V21,(Datos!L21+Datos!AB21-(Datos!V21+Datos!AJ21))/(Datos!V21+Datos!AJ21))
     ),IF(J_V="SI",(Datos!L21-Datos!V21)/Datos!V21,(Datos!L21+Datos!AB21-(Datos!V21+Datos!AJ21))/(Datos!V21+Datos!AJ21))," - ")</f>
        <v>0.30390275111964171</v>
      </c>
      <c r="H21" s="375">
        <f>IF(ISNUMBER((Datos!M21-Datos!W21)/Datos!W21),(Datos!M21-Datos!W21)/Datos!W21," - ")</f>
        <v>-0.14605418138987045</v>
      </c>
      <c r="I21" s="372">
        <f>IF(ISNUMBER((Tasas!C21-Datos!BE21)/Datos!BE21),(Tasas!C21-Datos!BE21)/Datos!BE21," - ")</f>
        <v>0.40229752336772018</v>
      </c>
      <c r="J21" s="373">
        <f>IF(ISNUMBER((Tasas!D21-Datos!BF21)/Datos!BF21),(Tasas!D21-Datos!BF21)/Datos!BF21," - ")</f>
        <v>-0.58832641893717985</v>
      </c>
      <c r="K21" s="374">
        <f>IF(ISNUMBER((Tasas!E21-Datos!BG21)/Datos!BG21),(Tasas!E21-Datos!BG21)/Datos!BG21," - ")</f>
        <v>0.20103387350047541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0.25800020675835389</v>
      </c>
      <c r="E23" s="283">
        <f t="shared" si="1"/>
        <v>6.7597919471702114E-2</v>
      </c>
      <c r="F23" s="283">
        <f t="shared" si="1"/>
        <v>0.10352409530870711</v>
      </c>
      <c r="G23" s="284">
        <f t="shared" si="1"/>
        <v>0.23782723060726005</v>
      </c>
      <c r="H23" s="290">
        <f t="shared" si="1"/>
        <v>0.12012538589496226</v>
      </c>
      <c r="I23" s="282">
        <f t="shared" si="1"/>
        <v>0.4195031611101448</v>
      </c>
      <c r="J23" s="283">
        <f t="shared" si="1"/>
        <v>0.38060673709500398</v>
      </c>
      <c r="K23" s="284">
        <f t="shared" si="1"/>
        <v>0.27088448259654274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qIAj6NSAaRQYv1ic1kliYyfEbae0aXPqnq5SNCW7tFhidNMVu9vllOuSE/1ZRgFJjI81O4QcZZXKbbO3Jx4Vpw==" saltValue="gcaIix3oCRYl4sQxPWmzH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